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hipeltaxadvice-my.sharepoint.com/personal/etenboom_archipeltaxadvice_nl/Documents/Bureaublad/"/>
    </mc:Choice>
  </mc:AlternateContent>
  <xr:revisionPtr revIDLastSave="18" documentId="13_ncr:1_{B125125E-2BF3-4F34-A725-D26E8E888481}" xr6:coauthVersionLast="47" xr6:coauthVersionMax="47" xr10:uidLastSave="{BD602D93-282D-4648-870C-5DA04A083412}"/>
  <bookViews>
    <workbookView xWindow="-80" yWindow="-80" windowWidth="19360" windowHeight="10360" xr2:uid="{3AD665D4-2D1E-4E18-8DE0-8FFA89B7F705}"/>
  </bookViews>
  <sheets>
    <sheet name="uitkomst" sheetId="2" r:id="rId1"/>
    <sheet name="recap" sheetId="20" state="hidden" r:id="rId2"/>
    <sheet name="basis berekening" sheetId="10" state="hidden" r:id="rId3"/>
    <sheet name="1.1" sheetId="11" state="hidden" r:id="rId4"/>
    <sheet name="1.2" sheetId="12" state="hidden" r:id="rId5"/>
    <sheet name="1.3" sheetId="13" state="hidden" r:id="rId6"/>
    <sheet name="2.1" sheetId="14" state="hidden" r:id="rId7"/>
    <sheet name="2.2" sheetId="15" state="hidden" r:id="rId8"/>
    <sheet name="2.3" sheetId="16" state="hidden" r:id="rId9"/>
    <sheet name="3.1" sheetId="17" state="hidden" r:id="rId10"/>
    <sheet name="3.2" sheetId="18" state="hidden" r:id="rId11"/>
    <sheet name="3.3" sheetId="19" state="hidden" r:id="rId12"/>
    <sheet name="Blad3" sheetId="3" state="hidden" r:id="rId13"/>
  </sheets>
  <definedNames>
    <definedName name="tabel">recap!$D$6:$L$21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G15" i="2"/>
  <c r="G16" i="2" l="1"/>
  <c r="M15" i="2"/>
  <c r="M16" i="2" s="1"/>
  <c r="J15" i="10"/>
  <c r="J18" i="10"/>
  <c r="F20" i="20"/>
  <c r="M22" i="2"/>
  <c r="I10" i="2"/>
  <c r="G12" i="2"/>
  <c r="E10" i="2"/>
  <c r="L20" i="20"/>
  <c r="L15" i="20"/>
  <c r="L10" i="20"/>
  <c r="K20" i="20"/>
  <c r="K15" i="20"/>
  <c r="K10" i="20"/>
  <c r="J20" i="20"/>
  <c r="J15" i="20"/>
  <c r="J10" i="20"/>
  <c r="I20" i="20"/>
  <c r="I15" i="20"/>
  <c r="I10" i="20"/>
  <c r="H20" i="20"/>
  <c r="H15" i="20"/>
  <c r="H10" i="20"/>
  <c r="G20" i="20"/>
  <c r="G15" i="20"/>
  <c r="G10" i="20"/>
  <c r="F15" i="20"/>
  <c r="F8" i="20"/>
  <c r="E18" i="20"/>
  <c r="E15" i="20"/>
  <c r="E8" i="20"/>
  <c r="D18" i="20"/>
  <c r="D15" i="20"/>
  <c r="D8" i="20"/>
  <c r="B3" i="20"/>
  <c r="A3" i="20"/>
  <c r="L18" i="19"/>
  <c r="H18" i="19"/>
  <c r="E18" i="19"/>
  <c r="E12" i="19"/>
  <c r="E13" i="19" s="1"/>
  <c r="D12" i="19"/>
  <c r="D10" i="19"/>
  <c r="E15" i="19" s="1"/>
  <c r="E27" i="19" s="1"/>
  <c r="L18" i="18"/>
  <c r="H18" i="18"/>
  <c r="E18" i="18"/>
  <c r="E12" i="18"/>
  <c r="E13" i="18" s="1"/>
  <c r="D12" i="18"/>
  <c r="D10" i="18"/>
  <c r="D11" i="18" s="1"/>
  <c r="F11" i="18" s="1"/>
  <c r="H18" i="17"/>
  <c r="E18" i="17"/>
  <c r="E12" i="17"/>
  <c r="E13" i="17" s="1"/>
  <c r="D12" i="17"/>
  <c r="D10" i="17"/>
  <c r="E15" i="17" s="1"/>
  <c r="E27" i="17" s="1"/>
  <c r="E12" i="16"/>
  <c r="E13" i="16" s="1"/>
  <c r="D12" i="16"/>
  <c r="L18" i="16"/>
  <c r="H18" i="16"/>
  <c r="E18" i="16"/>
  <c r="D10" i="16"/>
  <c r="F10" i="16" s="1"/>
  <c r="E12" i="15"/>
  <c r="E13" i="15" s="1"/>
  <c r="D12" i="15"/>
  <c r="F12" i="15" s="1"/>
  <c r="J4" i="15" s="1"/>
  <c r="H18" i="20" s="1"/>
  <c r="D10" i="15"/>
  <c r="F10" i="15" s="1"/>
  <c r="L18" i="15"/>
  <c r="H18" i="15"/>
  <c r="E18" i="15"/>
  <c r="E13" i="14"/>
  <c r="E12" i="14"/>
  <c r="D12" i="14"/>
  <c r="F12" i="14" s="1"/>
  <c r="J4" i="14" s="1"/>
  <c r="G18" i="20" s="1"/>
  <c r="H18" i="14"/>
  <c r="E18" i="14"/>
  <c r="D10" i="14"/>
  <c r="E15" i="14" s="1"/>
  <c r="L18" i="13"/>
  <c r="H18" i="13"/>
  <c r="E18" i="13"/>
  <c r="D10" i="13"/>
  <c r="D11" i="13" s="1"/>
  <c r="F11" i="13" s="1"/>
  <c r="J4" i="13" s="1"/>
  <c r="L18" i="12"/>
  <c r="H18" i="12"/>
  <c r="E18" i="12"/>
  <c r="D10" i="12"/>
  <c r="E15" i="12" s="1"/>
  <c r="L15" i="12" s="1"/>
  <c r="H18" i="11"/>
  <c r="E18" i="11"/>
  <c r="D10" i="11"/>
  <c r="E15" i="11" s="1"/>
  <c r="H18" i="10"/>
  <c r="E18" i="10"/>
  <c r="D10" i="10"/>
  <c r="F10" i="10" s="1"/>
  <c r="F6" i="10" s="1"/>
  <c r="E22" i="2"/>
  <c r="G17" i="2" l="1"/>
  <c r="M17" i="2"/>
  <c r="J16" i="10"/>
  <c r="J17" i="10" s="1"/>
  <c r="D3" i="20"/>
  <c r="E15" i="18"/>
  <c r="E27" i="18" s="1"/>
  <c r="E28" i="18" s="1"/>
  <c r="E29" i="18" s="1"/>
  <c r="E31" i="18" s="1"/>
  <c r="C32" i="18" s="1"/>
  <c r="E32" i="18" s="1"/>
  <c r="L16" i="13"/>
  <c r="F18" i="20"/>
  <c r="D11" i="11"/>
  <c r="F11" i="11" s="1"/>
  <c r="J6" i="11" s="1"/>
  <c r="H16" i="10"/>
  <c r="F10" i="18"/>
  <c r="H16" i="18" s="1"/>
  <c r="H4" i="10"/>
  <c r="G10" i="2" s="1"/>
  <c r="J6" i="10"/>
  <c r="I12" i="2" s="1"/>
  <c r="E12" i="2"/>
  <c r="E28" i="19"/>
  <c r="E29" i="19" s="1"/>
  <c r="E31" i="19" s="1"/>
  <c r="C32" i="19" s="1"/>
  <c r="E32" i="19" s="1"/>
  <c r="H16" i="16"/>
  <c r="D11" i="16"/>
  <c r="F11" i="16" s="1"/>
  <c r="D11" i="14"/>
  <c r="E15" i="13"/>
  <c r="H15" i="13" s="1"/>
  <c r="F4" i="14"/>
  <c r="G8" i="20" s="1"/>
  <c r="E15" i="16"/>
  <c r="L15" i="16" s="1"/>
  <c r="E15" i="10"/>
  <c r="F10" i="14"/>
  <c r="D11" i="15"/>
  <c r="D13" i="15" s="1"/>
  <c r="F13" i="15" s="1"/>
  <c r="H4" i="15" s="1"/>
  <c r="H13" i="20" s="1"/>
  <c r="F4" i="15"/>
  <c r="H8" i="20" s="1"/>
  <c r="D13" i="18"/>
  <c r="F13" i="18" s="1"/>
  <c r="L15" i="19"/>
  <c r="E16" i="19"/>
  <c r="E17" i="19" s="1"/>
  <c r="H15" i="19"/>
  <c r="F10" i="19"/>
  <c r="D11" i="19"/>
  <c r="F11" i="19" s="1"/>
  <c r="F12" i="19"/>
  <c r="F12" i="18"/>
  <c r="E28" i="17"/>
  <c r="E29" i="17" s="1"/>
  <c r="E31" i="17" s="1"/>
  <c r="H15" i="17"/>
  <c r="E16" i="17"/>
  <c r="E17" i="17" s="1"/>
  <c r="F10" i="17"/>
  <c r="F12" i="17"/>
  <c r="D11" i="17"/>
  <c r="F11" i="17" s="1"/>
  <c r="F12" i="16"/>
  <c r="E15" i="15"/>
  <c r="L15" i="15" s="1"/>
  <c r="E16" i="14"/>
  <c r="E17" i="14" s="1"/>
  <c r="H15" i="14"/>
  <c r="F6" i="13"/>
  <c r="F10" i="20" s="1"/>
  <c r="F10" i="13"/>
  <c r="L16" i="12"/>
  <c r="L17" i="12" s="1"/>
  <c r="H15" i="12"/>
  <c r="E16" i="12"/>
  <c r="E17" i="12" s="1"/>
  <c r="F10" i="12"/>
  <c r="D11" i="12"/>
  <c r="F11" i="12" s="1"/>
  <c r="H15" i="11"/>
  <c r="E16" i="11"/>
  <c r="E17" i="11" s="1"/>
  <c r="F10" i="11"/>
  <c r="H15" i="16" l="1"/>
  <c r="F6" i="11"/>
  <c r="D10" i="20" s="1"/>
  <c r="F28" i="20" s="1"/>
  <c r="K12" i="2" s="1"/>
  <c r="E16" i="18"/>
  <c r="E17" i="18" s="1"/>
  <c r="C19" i="18" s="1"/>
  <c r="E19" i="18" s="1"/>
  <c r="E20" i="18" s="1"/>
  <c r="E22" i="18" s="1"/>
  <c r="E16" i="13"/>
  <c r="E17" i="13" s="1"/>
  <c r="C19" i="13" s="1"/>
  <c r="E19" i="13" s="1"/>
  <c r="E20" i="13" s="1"/>
  <c r="E22" i="13" s="1"/>
  <c r="L15" i="18"/>
  <c r="L16" i="18" s="1"/>
  <c r="L17" i="18" s="1"/>
  <c r="H15" i="18"/>
  <c r="H17" i="18" s="1"/>
  <c r="F19" i="18" s="1"/>
  <c r="H19" i="18" s="1"/>
  <c r="H20" i="18" s="1"/>
  <c r="H22" i="18" s="1"/>
  <c r="H4" i="18"/>
  <c r="K13" i="20" s="1"/>
  <c r="D13" i="16"/>
  <c r="F13" i="16" s="1"/>
  <c r="H4" i="16" s="1"/>
  <c r="I13" i="20" s="1"/>
  <c r="H28" i="20"/>
  <c r="M12" i="2" s="1"/>
  <c r="H17" i="16"/>
  <c r="F19" i="16" s="1"/>
  <c r="H19" i="16" s="1"/>
  <c r="H20" i="16" s="1"/>
  <c r="H22" i="16" s="1"/>
  <c r="E16" i="16"/>
  <c r="E17" i="16" s="1"/>
  <c r="F11" i="15"/>
  <c r="D20" i="20"/>
  <c r="J28" i="20" s="1"/>
  <c r="O12" i="2" s="1"/>
  <c r="L15" i="13"/>
  <c r="E16" i="15"/>
  <c r="E17" i="15" s="1"/>
  <c r="C19" i="15" s="1"/>
  <c r="E19" i="15" s="1"/>
  <c r="E20" i="15" s="1"/>
  <c r="E22" i="15" s="1"/>
  <c r="J4" i="16"/>
  <c r="I18" i="20" s="1"/>
  <c r="F4" i="16"/>
  <c r="I8" i="20" s="1"/>
  <c r="D13" i="19"/>
  <c r="F13" i="19" s="1"/>
  <c r="F11" i="14"/>
  <c r="D13" i="14"/>
  <c r="F13" i="14" s="1"/>
  <c r="H4" i="14" s="1"/>
  <c r="G13" i="20" s="1"/>
  <c r="H16" i="14"/>
  <c r="H17" i="14" s="1"/>
  <c r="F19" i="14" s="1"/>
  <c r="H19" i="14" s="1"/>
  <c r="H20" i="14" s="1"/>
  <c r="H22" i="14" s="1"/>
  <c r="E16" i="10"/>
  <c r="E17" i="10" s="1"/>
  <c r="H15" i="10"/>
  <c r="H17" i="10" s="1"/>
  <c r="F19" i="10" s="1"/>
  <c r="H19" i="10" s="1"/>
  <c r="H15" i="15"/>
  <c r="C33" i="19"/>
  <c r="E33" i="19" s="1"/>
  <c r="E34" i="19" s="1"/>
  <c r="J3" i="19" s="1"/>
  <c r="L17" i="20" s="1"/>
  <c r="J4" i="19"/>
  <c r="L18" i="20" s="1"/>
  <c r="J26" i="20" s="1"/>
  <c r="O10" i="2" s="1"/>
  <c r="F4" i="19"/>
  <c r="L8" i="20" s="1"/>
  <c r="F26" i="20" s="1"/>
  <c r="K10" i="2" s="1"/>
  <c r="H16" i="19"/>
  <c r="H17" i="19" s="1"/>
  <c r="C19" i="19"/>
  <c r="E19" i="19" s="1"/>
  <c r="E20" i="19" s="1"/>
  <c r="E22" i="19" s="1"/>
  <c r="L16" i="19"/>
  <c r="L17" i="19" s="1"/>
  <c r="C33" i="18"/>
  <c r="E33" i="18" s="1"/>
  <c r="E34" i="18" s="1"/>
  <c r="J3" i="18" s="1"/>
  <c r="K17" i="20" s="1"/>
  <c r="J4" i="18"/>
  <c r="K18" i="20" s="1"/>
  <c r="F4" i="18"/>
  <c r="K8" i="20" s="1"/>
  <c r="D13" i="17"/>
  <c r="F13" i="17" s="1"/>
  <c r="H4" i="17" s="1"/>
  <c r="J13" i="20" s="1"/>
  <c r="C19" i="17"/>
  <c r="E19" i="17" s="1"/>
  <c r="E20" i="17" s="1"/>
  <c r="E22" i="17" s="1"/>
  <c r="H16" i="17"/>
  <c r="H17" i="17" s="1"/>
  <c r="J4" i="17"/>
  <c r="J18" i="20" s="1"/>
  <c r="F4" i="17"/>
  <c r="J8" i="20" s="1"/>
  <c r="L16" i="16"/>
  <c r="L17" i="16" s="1"/>
  <c r="L16" i="15"/>
  <c r="L17" i="15" s="1"/>
  <c r="H16" i="15"/>
  <c r="C19" i="14"/>
  <c r="E19" i="14" s="1"/>
  <c r="E20" i="14" s="1"/>
  <c r="E22" i="14" s="1"/>
  <c r="H16" i="13"/>
  <c r="H17" i="13" s="1"/>
  <c r="H4" i="13"/>
  <c r="F13" i="20" s="1"/>
  <c r="J19" i="12"/>
  <c r="L19" i="12" s="1"/>
  <c r="L20" i="12" s="1"/>
  <c r="L22" i="12" s="1"/>
  <c r="J6" i="12"/>
  <c r="E20" i="20" s="1"/>
  <c r="F6" i="12"/>
  <c r="E10" i="20" s="1"/>
  <c r="H16" i="12"/>
  <c r="H17" i="12" s="1"/>
  <c r="H4" i="12"/>
  <c r="E13" i="20" s="1"/>
  <c r="C19" i="12"/>
  <c r="E19" i="12" s="1"/>
  <c r="E20" i="12" s="1"/>
  <c r="E22" i="12" s="1"/>
  <c r="C19" i="11"/>
  <c r="E19" i="11" s="1"/>
  <c r="E20" i="11" s="1"/>
  <c r="E22" i="11" s="1"/>
  <c r="H16" i="11"/>
  <c r="H17" i="11" s="1"/>
  <c r="H4" i="11"/>
  <c r="D13" i="20" s="1"/>
  <c r="H20" i="10" l="1"/>
  <c r="H22" i="10" s="1"/>
  <c r="F23" i="10" s="1"/>
  <c r="J19" i="10"/>
  <c r="J20" i="10" s="1"/>
  <c r="J22" i="10" s="1"/>
  <c r="H4" i="19"/>
  <c r="L13" i="20" s="1"/>
  <c r="H26" i="20"/>
  <c r="M10" i="2" s="1"/>
  <c r="H17" i="15"/>
  <c r="F19" i="15" s="1"/>
  <c r="H19" i="15" s="1"/>
  <c r="H20" i="15" s="1"/>
  <c r="H22" i="15" s="1"/>
  <c r="C19" i="10"/>
  <c r="E19" i="10" s="1"/>
  <c r="E20" i="10" s="1"/>
  <c r="E22" i="10" s="1"/>
  <c r="C19" i="16"/>
  <c r="E19" i="16" s="1"/>
  <c r="E20" i="16" s="1"/>
  <c r="E22" i="16" s="1"/>
  <c r="C23" i="16" s="1"/>
  <c r="E23" i="16" s="1"/>
  <c r="L17" i="13"/>
  <c r="J19" i="13" s="1"/>
  <c r="L19" i="13" s="1"/>
  <c r="L20" i="13" s="1"/>
  <c r="L22" i="13" s="1"/>
  <c r="F24" i="10"/>
  <c r="H24" i="10" s="1"/>
  <c r="H23" i="10"/>
  <c r="J23" i="10" s="1"/>
  <c r="C23" i="19"/>
  <c r="E23" i="19" s="1"/>
  <c r="J19" i="19"/>
  <c r="L19" i="19" s="1"/>
  <c r="L20" i="19" s="1"/>
  <c r="L22" i="19" s="1"/>
  <c r="F19" i="19"/>
  <c r="H19" i="19" s="1"/>
  <c r="H20" i="19" s="1"/>
  <c r="H22" i="19" s="1"/>
  <c r="J19" i="18"/>
  <c r="L19" i="18" s="1"/>
  <c r="L20" i="18" s="1"/>
  <c r="L22" i="18" s="1"/>
  <c r="F23" i="18"/>
  <c r="H23" i="18" s="1"/>
  <c r="C23" i="18"/>
  <c r="E23" i="18" s="1"/>
  <c r="C32" i="17"/>
  <c r="E32" i="17" s="1"/>
  <c r="C23" i="17"/>
  <c r="E23" i="17" s="1"/>
  <c r="F19" i="17"/>
  <c r="H19" i="17" s="1"/>
  <c r="H20" i="17" s="1"/>
  <c r="H22" i="17" s="1"/>
  <c r="J19" i="16"/>
  <c r="L19" i="16" s="1"/>
  <c r="L20" i="16" s="1"/>
  <c r="L22" i="16" s="1"/>
  <c r="F23" i="16"/>
  <c r="H23" i="16" s="1"/>
  <c r="C23" i="15"/>
  <c r="E23" i="15" s="1"/>
  <c r="J19" i="15"/>
  <c r="L19" i="15" s="1"/>
  <c r="L20" i="15" s="1"/>
  <c r="L22" i="15" s="1"/>
  <c r="C23" i="14"/>
  <c r="E23" i="14" s="1"/>
  <c r="F23" i="14"/>
  <c r="H23" i="14" s="1"/>
  <c r="C23" i="13"/>
  <c r="E23" i="13" s="1"/>
  <c r="F19" i="13"/>
  <c r="H19" i="13" s="1"/>
  <c r="H20" i="13" s="1"/>
  <c r="H22" i="13" s="1"/>
  <c r="J23" i="12"/>
  <c r="L23" i="12" s="1"/>
  <c r="C23" i="12"/>
  <c r="E23" i="12" s="1"/>
  <c r="F19" i="12"/>
  <c r="H19" i="12" s="1"/>
  <c r="H20" i="12" s="1"/>
  <c r="H22" i="12" s="1"/>
  <c r="F19" i="11"/>
  <c r="H19" i="11" s="1"/>
  <c r="H20" i="11" s="1"/>
  <c r="H22" i="11" s="1"/>
  <c r="C23" i="11"/>
  <c r="E23" i="11" s="1"/>
  <c r="I24" i="10" l="1"/>
  <c r="J24" i="10" s="1"/>
  <c r="J25" i="10" s="1"/>
  <c r="C24" i="19"/>
  <c r="E24" i="19" s="1"/>
  <c r="E25" i="19" s="1"/>
  <c r="F3" i="19" s="1"/>
  <c r="F24" i="18"/>
  <c r="H24" i="18" s="1"/>
  <c r="H25" i="18" s="1"/>
  <c r="H3" i="18" s="1"/>
  <c r="H25" i="10"/>
  <c r="H3" i="10" s="1"/>
  <c r="G9" i="2" s="1"/>
  <c r="C24" i="11"/>
  <c r="E24" i="11" s="1"/>
  <c r="E25" i="11" s="1"/>
  <c r="F3" i="11" s="1"/>
  <c r="D7" i="20" s="1"/>
  <c r="C23" i="10"/>
  <c r="E23" i="10" s="1"/>
  <c r="C24" i="16"/>
  <c r="E24" i="16" s="1"/>
  <c r="E25" i="16" s="1"/>
  <c r="F3" i="16" s="1"/>
  <c r="J23" i="19"/>
  <c r="L23" i="19" s="1"/>
  <c r="F23" i="19"/>
  <c r="H23" i="19" s="1"/>
  <c r="C24" i="18"/>
  <c r="E24" i="18" s="1"/>
  <c r="E25" i="18" s="1"/>
  <c r="F3" i="18" s="1"/>
  <c r="J23" i="18"/>
  <c r="L23" i="18" s="1"/>
  <c r="C33" i="17"/>
  <c r="E33" i="17" s="1"/>
  <c r="E34" i="17" s="1"/>
  <c r="J3" i="17" s="1"/>
  <c r="J17" i="20" s="1"/>
  <c r="F23" i="17"/>
  <c r="H23" i="17" s="1"/>
  <c r="C24" i="17"/>
  <c r="E24" i="17" s="1"/>
  <c r="E25" i="17" s="1"/>
  <c r="F3" i="17" s="1"/>
  <c r="J7" i="20" s="1"/>
  <c r="J23" i="16"/>
  <c r="L23" i="16" s="1"/>
  <c r="F24" i="16"/>
  <c r="H24" i="16" s="1"/>
  <c r="H25" i="16" s="1"/>
  <c r="H3" i="16" s="1"/>
  <c r="C24" i="15"/>
  <c r="E24" i="15" s="1"/>
  <c r="E25" i="15" s="1"/>
  <c r="F3" i="15" s="1"/>
  <c r="J23" i="15"/>
  <c r="L23" i="15" s="1"/>
  <c r="F23" i="15"/>
  <c r="H23" i="15" s="1"/>
  <c r="F24" i="14"/>
  <c r="H24" i="14" s="1"/>
  <c r="H25" i="14" s="1"/>
  <c r="H3" i="14" s="1"/>
  <c r="C24" i="14"/>
  <c r="E24" i="14" s="1"/>
  <c r="E25" i="14" s="1"/>
  <c r="F3" i="14" s="1"/>
  <c r="G7" i="20" s="1"/>
  <c r="J23" i="13"/>
  <c r="L23" i="13" s="1"/>
  <c r="C24" i="13"/>
  <c r="E24" i="13" s="1"/>
  <c r="E25" i="13" s="1"/>
  <c r="F3" i="13" s="1"/>
  <c r="F23" i="13"/>
  <c r="H23" i="13" s="1"/>
  <c r="J24" i="12"/>
  <c r="L24" i="12" s="1"/>
  <c r="L25" i="12" s="1"/>
  <c r="J3" i="12" s="1"/>
  <c r="E17" i="20" s="1"/>
  <c r="F23" i="12"/>
  <c r="H23" i="12" s="1"/>
  <c r="C24" i="12"/>
  <c r="E24" i="12" s="1"/>
  <c r="E25" i="12" s="1"/>
  <c r="F3" i="12" s="1"/>
  <c r="E7" i="20" s="1"/>
  <c r="F23" i="11"/>
  <c r="H23" i="11" s="1"/>
  <c r="H5" i="10" l="1"/>
  <c r="F24" i="15"/>
  <c r="H24" i="15" s="1"/>
  <c r="H25" i="15" s="1"/>
  <c r="H3" i="15" s="1"/>
  <c r="J24" i="19"/>
  <c r="L24" i="19" s="1"/>
  <c r="L25" i="19" s="1"/>
  <c r="J5" i="19" s="1"/>
  <c r="H5" i="16"/>
  <c r="I12" i="20"/>
  <c r="H5" i="14"/>
  <c r="G12" i="20"/>
  <c r="F5" i="13"/>
  <c r="F7" i="20"/>
  <c r="F5" i="15"/>
  <c r="H7" i="20"/>
  <c r="F5" i="16"/>
  <c r="I7" i="20"/>
  <c r="F5" i="18"/>
  <c r="K7" i="20"/>
  <c r="H7" i="10"/>
  <c r="G13" i="2" s="1"/>
  <c r="G11" i="2"/>
  <c r="J24" i="16"/>
  <c r="L24" i="16" s="1"/>
  <c r="L25" i="16" s="1"/>
  <c r="J3" i="16" s="1"/>
  <c r="F5" i="19"/>
  <c r="L7" i="20"/>
  <c r="F25" i="20" s="1"/>
  <c r="K9" i="2" s="1"/>
  <c r="C24" i="10"/>
  <c r="E24" i="10" s="1"/>
  <c r="E25" i="10" s="1"/>
  <c r="F3" i="10" s="1"/>
  <c r="H5" i="18"/>
  <c r="K12" i="20"/>
  <c r="F24" i="19"/>
  <c r="H24" i="19" s="1"/>
  <c r="H25" i="19" s="1"/>
  <c r="H3" i="19" s="1"/>
  <c r="J24" i="18"/>
  <c r="L24" i="18" s="1"/>
  <c r="L25" i="18" s="1"/>
  <c r="J5" i="18" s="1"/>
  <c r="F5" i="17"/>
  <c r="J5" i="17"/>
  <c r="F24" i="17"/>
  <c r="H24" i="17" s="1"/>
  <c r="H25" i="17" s="1"/>
  <c r="H3" i="17" s="1"/>
  <c r="J24" i="15"/>
  <c r="L24" i="15" s="1"/>
  <c r="L25" i="15" s="1"/>
  <c r="J3" i="15" s="1"/>
  <c r="J3" i="14"/>
  <c r="F5" i="14"/>
  <c r="F24" i="13"/>
  <c r="H24" i="13" s="1"/>
  <c r="H25" i="13" s="1"/>
  <c r="H3" i="13" s="1"/>
  <c r="J24" i="13"/>
  <c r="L24" i="13" s="1"/>
  <c r="L25" i="13" s="1"/>
  <c r="J3" i="13" s="1"/>
  <c r="J5" i="12"/>
  <c r="F5" i="12"/>
  <c r="F24" i="12"/>
  <c r="H24" i="12" s="1"/>
  <c r="H25" i="12" s="1"/>
  <c r="H3" i="12" s="1"/>
  <c r="F24" i="11"/>
  <c r="H24" i="11" s="1"/>
  <c r="H25" i="11" s="1"/>
  <c r="H3" i="11" s="1"/>
  <c r="J3" i="11"/>
  <c r="F5" i="11"/>
  <c r="J5" i="16" l="1"/>
  <c r="I17" i="20"/>
  <c r="F7" i="15"/>
  <c r="H11" i="20" s="1"/>
  <c r="H9" i="20"/>
  <c r="J5" i="11"/>
  <c r="D17" i="20"/>
  <c r="F7" i="19"/>
  <c r="L11" i="20" s="1"/>
  <c r="L9" i="20"/>
  <c r="H5" i="13"/>
  <c r="F12" i="20"/>
  <c r="J5" i="14"/>
  <c r="G17" i="20"/>
  <c r="H5" i="12"/>
  <c r="E12" i="20"/>
  <c r="F7" i="12"/>
  <c r="E11" i="20" s="1"/>
  <c r="E9" i="20"/>
  <c r="F7" i="13"/>
  <c r="F11" i="20" s="1"/>
  <c r="F9" i="20"/>
  <c r="H5" i="19"/>
  <c r="L12" i="20"/>
  <c r="J5" i="15"/>
  <c r="H17" i="20"/>
  <c r="H5" i="17"/>
  <c r="J12" i="20"/>
  <c r="J7" i="12"/>
  <c r="E21" i="20" s="1"/>
  <c r="E19" i="20"/>
  <c r="J7" i="17"/>
  <c r="J21" i="20" s="1"/>
  <c r="J19" i="20"/>
  <c r="H5" i="11"/>
  <c r="D12" i="20"/>
  <c r="J7" i="19"/>
  <c r="L21" i="20" s="1"/>
  <c r="L19" i="20"/>
  <c r="H5" i="15"/>
  <c r="H12" i="20"/>
  <c r="J5" i="13"/>
  <c r="F17" i="20"/>
  <c r="F7" i="17"/>
  <c r="J11" i="20" s="1"/>
  <c r="J9" i="20"/>
  <c r="H7" i="18"/>
  <c r="K16" i="20" s="1"/>
  <c r="K14" i="20"/>
  <c r="F7" i="18"/>
  <c r="K11" i="20" s="1"/>
  <c r="K9" i="20"/>
  <c r="H7" i="14"/>
  <c r="G16" i="20" s="1"/>
  <c r="G14" i="20"/>
  <c r="J7" i="18"/>
  <c r="K21" i="20" s="1"/>
  <c r="K19" i="20"/>
  <c r="J3" i="10"/>
  <c r="E9" i="2"/>
  <c r="F5" i="10"/>
  <c r="F7" i="11"/>
  <c r="D11" i="20" s="1"/>
  <c r="D9" i="20"/>
  <c r="F7" i="14"/>
  <c r="G11" i="20" s="1"/>
  <c r="G9" i="20"/>
  <c r="F7" i="16"/>
  <c r="I11" i="20" s="1"/>
  <c r="I9" i="20"/>
  <c r="H7" i="16"/>
  <c r="I16" i="20" s="1"/>
  <c r="I14" i="20"/>
  <c r="F27" i="20" l="1"/>
  <c r="K11" i="2" s="1"/>
  <c r="F29" i="20"/>
  <c r="K13" i="2" s="1"/>
  <c r="H25" i="20"/>
  <c r="M9" i="2" s="1"/>
  <c r="J25" i="20"/>
  <c r="O9" i="2" s="1"/>
  <c r="J5" i="10"/>
  <c r="I9" i="2"/>
  <c r="H7" i="11"/>
  <c r="D16" i="20" s="1"/>
  <c r="D14" i="20"/>
  <c r="J7" i="15"/>
  <c r="H21" i="20" s="1"/>
  <c r="H19" i="20"/>
  <c r="H7" i="12"/>
  <c r="E16" i="20" s="1"/>
  <c r="E14" i="20"/>
  <c r="J7" i="11"/>
  <c r="D21" i="20" s="1"/>
  <c r="D19" i="20"/>
  <c r="H7" i="17"/>
  <c r="J16" i="20" s="1"/>
  <c r="J14" i="20"/>
  <c r="J7" i="13"/>
  <c r="F21" i="20" s="1"/>
  <c r="F19" i="20"/>
  <c r="H7" i="19"/>
  <c r="L16" i="20" s="1"/>
  <c r="L14" i="20"/>
  <c r="J7" i="14"/>
  <c r="G21" i="20" s="1"/>
  <c r="G19" i="20"/>
  <c r="F7" i="10"/>
  <c r="E13" i="2" s="1"/>
  <c r="E11" i="2"/>
  <c r="H7" i="15"/>
  <c r="H16" i="20" s="1"/>
  <c r="H14" i="20"/>
  <c r="H7" i="13"/>
  <c r="F16" i="20" s="1"/>
  <c r="F14" i="20"/>
  <c r="J7" i="16"/>
  <c r="I21" i="20" s="1"/>
  <c r="I19" i="20"/>
  <c r="H27" i="20" l="1"/>
  <c r="M11" i="2" s="1"/>
  <c r="H29" i="20"/>
  <c r="M13" i="2" s="1"/>
  <c r="J29" i="20"/>
  <c r="O13" i="2" s="1"/>
  <c r="J27" i="20"/>
  <c r="O11" i="2" s="1"/>
  <c r="I11" i="2"/>
  <c r="J7" i="10"/>
  <c r="I13" i="2" s="1"/>
</calcChain>
</file>

<file path=xl/sharedStrings.xml><?xml version="1.0" encoding="utf-8"?>
<sst xmlns="http://schemas.openxmlformats.org/spreadsheetml/2006/main" count="357" uniqueCount="63">
  <si>
    <t>Vader drijft onderneming in BV-vorm.</t>
  </si>
  <si>
    <t xml:space="preserve">De waarde is nu </t>
  </si>
  <si>
    <t>De verkrijgingsprijs van de aandelen is verwaarlozen.</t>
  </si>
  <si>
    <t>ja</t>
  </si>
  <si>
    <t>nee</t>
  </si>
  <si>
    <t>Schenkbelasting</t>
  </si>
  <si>
    <t xml:space="preserve"> (stel BOR is van toepassing op hele waarde) </t>
  </si>
  <si>
    <t>vrijstelling</t>
  </si>
  <si>
    <t>Belast</t>
  </si>
  <si>
    <t>over de eerste</t>
  </si>
  <si>
    <t>over het restant</t>
  </si>
  <si>
    <t>vrijgesteld</t>
  </si>
  <si>
    <t>schenking in jaar</t>
  </si>
  <si>
    <t>3 jaar dienstbetrekking</t>
  </si>
  <si>
    <t>ó</t>
  </si>
  <si>
    <t>ð</t>
  </si>
  <si>
    <t>Belastinggevolgen</t>
  </si>
  <si>
    <t>Box 1 direct</t>
  </si>
  <si>
    <t>Totaal direct</t>
  </si>
  <si>
    <t>Totale druk</t>
  </si>
  <si>
    <t>Complicatie feiten</t>
  </si>
  <si>
    <t>Verkoop in jaar 10 voor</t>
  </si>
  <si>
    <t>Verkoop in jaar 7 voor</t>
  </si>
  <si>
    <t>Complicatie wetgeving</t>
  </si>
  <si>
    <t>daarboven</t>
  </si>
  <si>
    <t>Initiatiefwetsvoorstel o.a. Groen Links</t>
  </si>
  <si>
    <t>Box 2 latent (uitstel)</t>
  </si>
  <si>
    <t>NB:</t>
  </si>
  <si>
    <t>geen wijziging latente box 2 heffing schenkbelasting</t>
  </si>
  <si>
    <t>Box 2 direct</t>
  </si>
  <si>
    <t>box 2 belasting</t>
  </si>
  <si>
    <t>schenking</t>
  </si>
  <si>
    <t>dienstbetrekking</t>
  </si>
  <si>
    <t>(latent) box 2</t>
  </si>
  <si>
    <t>vrijstelling bor</t>
  </si>
  <si>
    <t>wordt</t>
  </si>
  <si>
    <t>jaar 4 wordt</t>
  </si>
  <si>
    <t>in jaar 1/4 en jaar 10</t>
  </si>
  <si>
    <t>1 ja</t>
  </si>
  <si>
    <t>1 nee</t>
  </si>
  <si>
    <t>4 ja</t>
  </si>
  <si>
    <t>schenk</t>
  </si>
  <si>
    <t>t d</t>
  </si>
  <si>
    <t>b2 l</t>
  </si>
  <si>
    <t>b2 d</t>
  </si>
  <si>
    <t>tot</t>
  </si>
  <si>
    <t>Na complicaties</t>
  </si>
  <si>
    <t xml:space="preserve">box 2 tarief </t>
  </si>
  <si>
    <t xml:space="preserve"> volgens voorjaarsnota</t>
  </si>
  <si>
    <t>over eerste</t>
  </si>
  <si>
    <t xml:space="preserve">N.B.: directe box 2 claim = </t>
  </si>
  <si>
    <t>huidige situatie</t>
  </si>
  <si>
    <t>in eerste 10 jaar onmiddellijk na schenking/verkoop.</t>
  </si>
  <si>
    <t>VOORBEELD B</t>
  </si>
  <si>
    <t>Verkoopprijs tussen 10- en 100 miljoen.</t>
  </si>
  <si>
    <t>Box 2</t>
  </si>
  <si>
    <t>Geen actie</t>
  </si>
  <si>
    <t xml:space="preserve">Erfbelastingclaim </t>
  </si>
  <si>
    <t>Zoon erft opbrengst (in 20% tarief)</t>
  </si>
  <si>
    <t>Verkoop op termijn:</t>
  </si>
  <si>
    <t xml:space="preserve">   (1 2 of 3 invullen)</t>
  </si>
  <si>
    <r>
      <t xml:space="preserve">box 2 aanpassing (zie 1) en versobering BOR, </t>
    </r>
    <r>
      <rPr>
        <i/>
        <sz val="10"/>
        <color theme="1"/>
        <rFont val="Rockwell"/>
        <family val="1"/>
      </rPr>
      <t>bijvoorbeeld</t>
    </r>
  </si>
  <si>
    <t xml:space="preserve">*Dit is een algemeen voorbeeld ter illustratie, er kunnen geen rechten aan worden ontleend.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</si>
</sst>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Rockwell"/>
      <family val="1"/>
    </font>
    <font>
      <sz val="10"/>
      <color theme="1"/>
      <name val="Wingdings"/>
      <charset val="2"/>
    </font>
    <font>
      <sz val="10"/>
      <color theme="0"/>
      <name val="Rockwell"/>
      <family val="1"/>
    </font>
    <font>
      <i/>
      <sz val="10"/>
      <color theme="1"/>
      <name val="Rockwell"/>
      <family val="1"/>
    </font>
    <font>
      <b/>
      <sz val="18"/>
      <color rgb="FF191348"/>
      <name val="Tw Cen MT"/>
      <family val="2"/>
    </font>
    <font>
      <sz val="10"/>
      <color rgb="FF191348"/>
      <name val="Rockwell"/>
      <family val="1"/>
    </font>
    <font>
      <i/>
      <sz val="8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47C4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3" fontId="3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3" fillId="0" borderId="8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2" borderId="3" xfId="0" applyNumberFormat="1" applyFont="1" applyFill="1" applyBorder="1"/>
    <xf numFmtId="3" fontId="3" fillId="0" borderId="8" xfId="0" applyNumberFormat="1" applyFont="1" applyBorder="1"/>
    <xf numFmtId="3" fontId="3" fillId="0" borderId="14" xfId="0" applyNumberFormat="1" applyFont="1" applyBorder="1"/>
    <xf numFmtId="3" fontId="3" fillId="0" borderId="1" xfId="0" applyNumberFormat="1" applyFont="1" applyBorder="1"/>
    <xf numFmtId="3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15" xfId="0" applyNumberFormat="1" applyFont="1" applyBorder="1"/>
    <xf numFmtId="3" fontId="3" fillId="0" borderId="11" xfId="0" applyNumberFormat="1" applyFont="1" applyBorder="1"/>
    <xf numFmtId="3" fontId="3" fillId="2" borderId="12" xfId="0" applyNumberFormat="1" applyFont="1" applyFill="1" applyBorder="1"/>
    <xf numFmtId="3" fontId="3" fillId="0" borderId="13" xfId="0" applyNumberFormat="1" applyFont="1" applyBorder="1"/>
    <xf numFmtId="1" fontId="3" fillId="0" borderId="0" xfId="0" applyNumberFormat="1" applyFont="1"/>
    <xf numFmtId="3" fontId="3" fillId="0" borderId="6" xfId="0" applyNumberFormat="1" applyFont="1" applyBorder="1"/>
    <xf numFmtId="0" fontId="3" fillId="0" borderId="0" xfId="0" applyFont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4" fillId="0" borderId="2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/>
    <xf numFmtId="3" fontId="3" fillId="0" borderId="12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3" borderId="0" xfId="0" applyFont="1" applyFill="1" applyAlignment="1">
      <alignment horizontal="center"/>
    </xf>
    <xf numFmtId="3" fontId="8" fillId="3" borderId="0" xfId="0" applyNumberFormat="1" applyFont="1" applyFill="1"/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913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6350</xdr:rowOff>
    </xdr:from>
    <xdr:to>
      <xdr:col>15</xdr:col>
      <xdr:colOff>241299</xdr:colOff>
      <xdr:row>2</xdr:row>
      <xdr:rowOff>111125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EF5944E-01E4-4788-9848-7828EE92C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6350"/>
          <a:ext cx="1600199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3282-814C-4DB2-8083-1DFEC526E5BD}">
  <sheetPr>
    <pageSetUpPr fitToPage="1"/>
  </sheetPr>
  <dimension ref="A3:O30"/>
  <sheetViews>
    <sheetView showGridLines="0" tabSelected="1" workbookViewId="0">
      <selection activeCell="G10" sqref="G10"/>
    </sheetView>
  </sheetViews>
  <sheetFormatPr defaultRowHeight="12.5" x14ac:dyDescent="0.25"/>
  <cols>
    <col min="1" max="1" width="10" style="11" customWidth="1"/>
    <col min="2" max="2" width="8.7265625" style="11"/>
    <col min="3" max="3" width="10.7265625" style="11" bestFit="1" customWidth="1"/>
    <col min="4" max="4" width="9.08984375" style="11" bestFit="1" customWidth="1"/>
    <col min="5" max="5" width="10.6328125" style="11" customWidth="1"/>
    <col min="6" max="6" width="4.7265625" style="11" customWidth="1"/>
    <col min="7" max="7" width="10.7265625" style="11" bestFit="1" customWidth="1"/>
    <col min="8" max="8" width="4.6328125" style="11" customWidth="1"/>
    <col min="9" max="9" width="9.6328125" style="11" bestFit="1" customWidth="1"/>
    <col min="10" max="10" width="2.26953125" style="11" customWidth="1"/>
    <col min="11" max="11" width="9.90625" style="11" bestFit="1" customWidth="1"/>
    <col min="12" max="12" width="5.90625" style="11" customWidth="1"/>
    <col min="13" max="13" width="10.7265625" style="11" bestFit="1" customWidth="1"/>
    <col min="14" max="14" width="5.36328125" style="11" customWidth="1"/>
    <col min="15" max="15" width="9.90625" style="11" bestFit="1" customWidth="1"/>
    <col min="16" max="16" width="6.36328125" style="11" customWidth="1"/>
    <col min="17" max="16384" width="8.7265625" style="11"/>
  </cols>
  <sheetData>
    <row r="3" spans="1:15" ht="23" x14ac:dyDescent="0.5">
      <c r="A3" s="11" t="s">
        <v>0</v>
      </c>
      <c r="I3" s="52" t="s">
        <v>53</v>
      </c>
    </row>
    <row r="4" spans="1:15" x14ac:dyDescent="0.25">
      <c r="A4" s="11" t="s">
        <v>1</v>
      </c>
      <c r="C4" s="12">
        <v>10000000</v>
      </c>
      <c r="D4" s="11" t="s">
        <v>6</v>
      </c>
      <c r="K4" s="11" t="s">
        <v>50</v>
      </c>
    </row>
    <row r="5" spans="1:15" ht="13" thickBot="1" x14ac:dyDescent="0.3">
      <c r="A5" s="11" t="s">
        <v>2</v>
      </c>
      <c r="K5" s="11" t="s">
        <v>52</v>
      </c>
    </row>
    <row r="6" spans="1:15" x14ac:dyDescent="0.25">
      <c r="A6" s="13"/>
      <c r="B6" s="14"/>
      <c r="C6" s="14"/>
      <c r="D6" s="14"/>
      <c r="E6" s="42"/>
      <c r="F6" s="43" t="s">
        <v>51</v>
      </c>
      <c r="G6" s="43"/>
      <c r="H6" s="43"/>
      <c r="I6" s="43"/>
      <c r="J6" s="44"/>
      <c r="K6" s="43"/>
      <c r="L6" s="43" t="s">
        <v>46</v>
      </c>
      <c r="M6" s="43"/>
      <c r="N6" s="43"/>
      <c r="O6" s="45"/>
    </row>
    <row r="7" spans="1:15" x14ac:dyDescent="0.25">
      <c r="A7" s="15" t="s">
        <v>12</v>
      </c>
      <c r="B7" s="16"/>
      <c r="C7" s="16"/>
      <c r="D7" s="16"/>
      <c r="E7" s="17">
        <v>1</v>
      </c>
      <c r="F7" s="46" t="s">
        <v>14</v>
      </c>
      <c r="G7" s="16">
        <v>1</v>
      </c>
      <c r="H7" s="46" t="s">
        <v>15</v>
      </c>
      <c r="I7" s="16">
        <v>4</v>
      </c>
      <c r="J7" s="18"/>
      <c r="K7" s="16">
        <v>1</v>
      </c>
      <c r="L7" s="46" t="s">
        <v>14</v>
      </c>
      <c r="M7" s="16">
        <v>1</v>
      </c>
      <c r="N7" s="46" t="s">
        <v>15</v>
      </c>
      <c r="O7" s="19">
        <v>4</v>
      </c>
    </row>
    <row r="8" spans="1:15" x14ac:dyDescent="0.25">
      <c r="A8" s="15" t="s">
        <v>13</v>
      </c>
      <c r="B8" s="16"/>
      <c r="C8" s="16"/>
      <c r="D8" s="16"/>
      <c r="E8" s="20" t="s">
        <v>3</v>
      </c>
      <c r="F8" s="47"/>
      <c r="G8" s="21" t="s">
        <v>4</v>
      </c>
      <c r="H8" s="47"/>
      <c r="I8" s="21" t="s">
        <v>3</v>
      </c>
      <c r="J8" s="18"/>
      <c r="K8" s="21" t="s">
        <v>3</v>
      </c>
      <c r="L8" s="47"/>
      <c r="M8" s="21" t="s">
        <v>4</v>
      </c>
      <c r="N8" s="47"/>
      <c r="O8" s="22" t="s">
        <v>3</v>
      </c>
    </row>
    <row r="9" spans="1:15" x14ac:dyDescent="0.25">
      <c r="A9" s="15" t="s">
        <v>16</v>
      </c>
      <c r="B9" s="16"/>
      <c r="C9" s="16" t="s">
        <v>5</v>
      </c>
      <c r="D9" s="16"/>
      <c r="E9" s="23">
        <f>'basis berekening'!F3</f>
        <v>266001.5</v>
      </c>
      <c r="F9" s="48"/>
      <c r="G9" s="24">
        <f>'basis berekening'!H3</f>
        <v>195791.5</v>
      </c>
      <c r="H9" s="48"/>
      <c r="I9" s="24">
        <f>'basis berekening'!J3</f>
        <v>266001.5</v>
      </c>
      <c r="J9" s="25"/>
      <c r="K9" s="24">
        <f>recap!F25</f>
        <v>266001.5</v>
      </c>
      <c r="L9" s="48"/>
      <c r="M9" s="24">
        <f>recap!H25</f>
        <v>195791.5</v>
      </c>
      <c r="N9" s="48"/>
      <c r="O9" s="26">
        <f>recap!J25</f>
        <v>266001.5</v>
      </c>
    </row>
    <row r="10" spans="1:15" x14ac:dyDescent="0.25">
      <c r="A10" s="15"/>
      <c r="B10" s="16"/>
      <c r="C10" s="16" t="s">
        <v>29</v>
      </c>
      <c r="D10" s="16"/>
      <c r="E10" s="27">
        <f>'basis berekening'!F4</f>
        <v>0</v>
      </c>
      <c r="F10" s="48"/>
      <c r="G10" s="28">
        <f>'basis berekening'!H4</f>
        <v>2690000</v>
      </c>
      <c r="H10" s="48"/>
      <c r="I10" s="28">
        <f>'basis berekening'!J4</f>
        <v>0</v>
      </c>
      <c r="J10" s="25"/>
      <c r="K10" s="28">
        <f>recap!F26</f>
        <v>7375000</v>
      </c>
      <c r="L10" s="48"/>
      <c r="M10" s="28">
        <f>recap!H26</f>
        <v>7115000</v>
      </c>
      <c r="N10" s="48"/>
      <c r="O10" s="29">
        <f>recap!J26</f>
        <v>7375000</v>
      </c>
    </row>
    <row r="11" spans="1:15" x14ac:dyDescent="0.25">
      <c r="A11" s="15"/>
      <c r="B11" s="16"/>
      <c r="C11" s="16" t="s">
        <v>18</v>
      </c>
      <c r="D11" s="16"/>
      <c r="E11" s="23">
        <f>'basis berekening'!F5</f>
        <v>266001.5</v>
      </c>
      <c r="F11" s="48"/>
      <c r="G11" s="24">
        <f>'basis berekening'!H5</f>
        <v>2885791.5</v>
      </c>
      <c r="H11" s="48"/>
      <c r="I11" s="24">
        <f>'basis berekening'!J5</f>
        <v>266001.5</v>
      </c>
      <c r="J11" s="25"/>
      <c r="K11" s="24">
        <f>recap!F27</f>
        <v>7641001.5</v>
      </c>
      <c r="L11" s="48"/>
      <c r="M11" s="24">
        <f>recap!H27</f>
        <v>7310791.5</v>
      </c>
      <c r="N11" s="48"/>
      <c r="O11" s="26">
        <f>recap!J27</f>
        <v>7641001.5</v>
      </c>
    </row>
    <row r="12" spans="1:15" x14ac:dyDescent="0.25">
      <c r="A12" s="15"/>
      <c r="B12" s="16"/>
      <c r="C12" s="16" t="s">
        <v>26</v>
      </c>
      <c r="D12" s="16"/>
      <c r="E12" s="27">
        <f>'basis berekening'!F6</f>
        <v>2690000</v>
      </c>
      <c r="F12" s="48"/>
      <c r="G12" s="28">
        <f>'basis berekening'!H6</f>
        <v>0</v>
      </c>
      <c r="H12" s="48"/>
      <c r="I12" s="28">
        <f>'basis berekening'!J6</f>
        <v>2690000</v>
      </c>
      <c r="J12" s="25"/>
      <c r="K12" s="28">
        <f>recap!F28</f>
        <v>0</v>
      </c>
      <c r="L12" s="48"/>
      <c r="M12" s="28">
        <f>recap!H28</f>
        <v>0</v>
      </c>
      <c r="N12" s="48"/>
      <c r="O12" s="29">
        <f>recap!J28</f>
        <v>0</v>
      </c>
    </row>
    <row r="13" spans="1:15" ht="13" thickBot="1" x14ac:dyDescent="0.3">
      <c r="A13" s="30"/>
      <c r="B13" s="31"/>
      <c r="C13" s="31" t="s">
        <v>19</v>
      </c>
      <c r="D13" s="31"/>
      <c r="E13" s="32">
        <f>'basis berekening'!F7</f>
        <v>2956001.5</v>
      </c>
      <c r="F13" s="49"/>
      <c r="G13" s="33">
        <f>'basis berekening'!H7</f>
        <v>2885791.5</v>
      </c>
      <c r="H13" s="49"/>
      <c r="I13" s="33">
        <f>'basis berekening'!J7</f>
        <v>2956001.5</v>
      </c>
      <c r="J13" s="34"/>
      <c r="K13" s="33">
        <f>recap!F29</f>
        <v>7641001.5</v>
      </c>
      <c r="L13" s="49"/>
      <c r="M13" s="33">
        <f>recap!H29</f>
        <v>7310791.5</v>
      </c>
      <c r="N13" s="49"/>
      <c r="O13" s="35">
        <f>recap!J29</f>
        <v>7641001.5</v>
      </c>
    </row>
    <row r="14" spans="1:15" ht="13" thickBot="1" x14ac:dyDescent="0.3">
      <c r="E14" s="36"/>
      <c r="G14" s="36"/>
      <c r="I14" s="36"/>
      <c r="K14" s="36"/>
      <c r="M14" s="36"/>
      <c r="O14" s="36"/>
    </row>
    <row r="15" spans="1:15" x14ac:dyDescent="0.25">
      <c r="A15" s="11" t="s">
        <v>56</v>
      </c>
      <c r="E15" s="13" t="s">
        <v>55</v>
      </c>
      <c r="F15" s="14"/>
      <c r="G15" s="37">
        <f>0.269*C4</f>
        <v>2690000</v>
      </c>
      <c r="K15" s="13" t="s">
        <v>55</v>
      </c>
      <c r="L15" s="14"/>
      <c r="M15" s="37">
        <f>IF(L19=3,E21*0.495,E21*M20)</f>
        <v>7375000</v>
      </c>
    </row>
    <row r="16" spans="1:15" x14ac:dyDescent="0.25">
      <c r="A16" s="11" t="s">
        <v>59</v>
      </c>
      <c r="C16" s="12">
        <f>C4</f>
        <v>10000000</v>
      </c>
      <c r="E16" s="15" t="s">
        <v>57</v>
      </c>
      <c r="F16" s="16"/>
      <c r="G16" s="29">
        <f>(E21-G15)*0.2</f>
        <v>4462000</v>
      </c>
      <c r="K16" s="15" t="s">
        <v>57</v>
      </c>
      <c r="L16" s="16"/>
      <c r="M16" s="29">
        <f>(E21-M15)*0.2</f>
        <v>3525000</v>
      </c>
    </row>
    <row r="17" spans="1:15" ht="13" thickBot="1" x14ac:dyDescent="0.3">
      <c r="A17" s="11" t="s">
        <v>58</v>
      </c>
      <c r="E17" s="30"/>
      <c r="F17" s="31"/>
      <c r="G17" s="35">
        <f>G15+G16</f>
        <v>7152000</v>
      </c>
      <c r="K17" s="30"/>
      <c r="L17" s="31"/>
      <c r="M17" s="35">
        <f>M15+M16</f>
        <v>10900000</v>
      </c>
    </row>
    <row r="19" spans="1:15" x14ac:dyDescent="0.25">
      <c r="A19" s="11" t="s">
        <v>20</v>
      </c>
      <c r="D19" s="53">
        <v>1</v>
      </c>
      <c r="E19" s="11" t="s">
        <v>60</v>
      </c>
      <c r="I19" s="11" t="s">
        <v>23</v>
      </c>
      <c r="L19" s="53">
        <v>1</v>
      </c>
      <c r="M19" s="11" t="s">
        <v>60</v>
      </c>
    </row>
    <row r="20" spans="1:15" x14ac:dyDescent="0.25">
      <c r="A20" s="38"/>
      <c r="I20" s="38">
        <v>1</v>
      </c>
      <c r="J20" s="11" t="s">
        <v>47</v>
      </c>
      <c r="M20" s="39">
        <v>0.29499999999999998</v>
      </c>
      <c r="N20" s="11" t="s">
        <v>48</v>
      </c>
    </row>
    <row r="21" spans="1:15" x14ac:dyDescent="0.25">
      <c r="A21" s="38">
        <v>1</v>
      </c>
      <c r="B21" s="11" t="s">
        <v>21</v>
      </c>
      <c r="E21" s="54">
        <v>25000000</v>
      </c>
      <c r="I21" s="38">
        <v>2</v>
      </c>
      <c r="J21" s="11" t="s">
        <v>61</v>
      </c>
    </row>
    <row r="22" spans="1:15" x14ac:dyDescent="0.25">
      <c r="A22" s="38">
        <v>2</v>
      </c>
      <c r="B22" s="11" t="s">
        <v>22</v>
      </c>
      <c r="E22" s="12">
        <f>E21</f>
        <v>25000000</v>
      </c>
      <c r="I22" s="38"/>
      <c r="J22" s="11" t="s">
        <v>49</v>
      </c>
      <c r="M22" s="11">
        <f>'basis berekening'!C18</f>
        <v>1134403</v>
      </c>
      <c r="N22" s="40">
        <v>0.8</v>
      </c>
      <c r="O22" s="11" t="s">
        <v>11</v>
      </c>
    </row>
    <row r="23" spans="1:15" x14ac:dyDescent="0.25">
      <c r="I23" s="38"/>
      <c r="J23" s="11" t="s">
        <v>24</v>
      </c>
      <c r="N23" s="40">
        <v>0.4</v>
      </c>
      <c r="O23" s="11" t="s">
        <v>11</v>
      </c>
    </row>
    <row r="24" spans="1:15" x14ac:dyDescent="0.25">
      <c r="C24" s="11" t="s">
        <v>54</v>
      </c>
      <c r="I24" s="50">
        <v>3</v>
      </c>
      <c r="J24" s="51" t="s">
        <v>25</v>
      </c>
    </row>
    <row r="25" spans="1:15" x14ac:dyDescent="0.25">
      <c r="I25" s="38" t="s">
        <v>27</v>
      </c>
      <c r="J25" s="11" t="s">
        <v>28</v>
      </c>
    </row>
    <row r="26" spans="1:15" x14ac:dyDescent="0.25">
      <c r="A26" s="55" t="s">
        <v>62</v>
      </c>
    </row>
    <row r="30" spans="1:15" x14ac:dyDescent="0.25">
      <c r="A30" s="41"/>
    </row>
  </sheetData>
  <sheetProtection algorithmName="SHA-512" hashValue="ml49XKBhEI7F6HcVhpcEWxF4LJRO59JmjKVClFn7hcW0EbnBF6nxCdtNk9SJJeaL52aowbLNCJJJt2vXoBnIxw==" saltValue="slaKK7RYz62E+/EdVsSVCw==" spinCount="100000" sheet="1" objects="1" scenarios="1"/>
  <protectedRanges>
    <protectedRange sqref="E21" name="Bereik3"/>
    <protectedRange sqref="D19" name="Bereik1"/>
    <protectedRange sqref="L19" name="Bereik2"/>
  </protectedRanges>
  <dataValidations count="2">
    <dataValidation type="whole" operator="lessThan" allowBlank="1" showInputMessage="1" showErrorMessage="1" sqref="L19 D19" xr:uid="{D6494484-5608-4285-816E-F298B9B53870}">
      <formula1>3</formula1>
    </dataValidation>
    <dataValidation type="whole" allowBlank="1" showInputMessage="1" showErrorMessage="1" sqref="E21" xr:uid="{02CF1F34-5829-491B-8E2B-75B4CE95B053}">
      <formula1>10000000</formula1>
      <formula2>100000000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DCF-9F16-45C2-BC85-D53594EF8751}">
  <dimension ref="A1:J34"/>
  <sheetViews>
    <sheetView workbookViewId="0">
      <selection activeCell="E15" sqref="E15"/>
    </sheetView>
  </sheetViews>
  <sheetFormatPr defaultRowHeight="14.5" x14ac:dyDescent="0.35"/>
  <cols>
    <col min="5" max="5" width="10.81640625" customWidth="1"/>
    <col min="6" max="6" width="8.90625" bestFit="1" customWidth="1"/>
    <col min="8" max="8" width="9.7265625" customWidth="1"/>
    <col min="10" max="10" width="8.90625" bestFit="1" customWidth="1"/>
  </cols>
  <sheetData>
    <row r="1" spans="1:10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0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0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E34</f>
        <v>1860821.5</v>
      </c>
    </row>
    <row r="4" spans="1:10" x14ac:dyDescent="0.35">
      <c r="D4" t="s">
        <v>17</v>
      </c>
      <c r="F4" s="10">
        <f>F12</f>
        <v>7375000</v>
      </c>
      <c r="G4" s="9"/>
      <c r="H4" s="10">
        <f>F10+F13</f>
        <v>7115000</v>
      </c>
      <c r="I4" s="9"/>
      <c r="J4" s="10">
        <f>F12</f>
        <v>7375000</v>
      </c>
    </row>
    <row r="5" spans="1:10" x14ac:dyDescent="0.35">
      <c r="D5" t="s">
        <v>18</v>
      </c>
      <c r="F5" s="9">
        <f>F3+F4</f>
        <v>7641001.5</v>
      </c>
      <c r="G5" s="9"/>
      <c r="H5" s="9">
        <f>H3+H4</f>
        <v>7310791.5</v>
      </c>
      <c r="I5" s="9"/>
      <c r="J5" s="9">
        <f>J3+J4</f>
        <v>9235821.5</v>
      </c>
    </row>
    <row r="6" spans="1:10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0" x14ac:dyDescent="0.35">
      <c r="D7" t="s">
        <v>19</v>
      </c>
      <c r="F7" s="9">
        <f>F5+F6</f>
        <v>7641001.5</v>
      </c>
      <c r="G7" s="9"/>
      <c r="H7" s="9">
        <f>H5+H6</f>
        <v>7310791.5</v>
      </c>
      <c r="I7" s="9"/>
      <c r="J7" s="9">
        <f>J5+J6</f>
        <v>9235821.5</v>
      </c>
    </row>
    <row r="8" spans="1:10" x14ac:dyDescent="0.35">
      <c r="F8" s="4"/>
      <c r="G8" s="4"/>
      <c r="H8" s="4"/>
      <c r="I8" s="4"/>
      <c r="J8" s="4"/>
    </row>
    <row r="9" spans="1:10" x14ac:dyDescent="0.35">
      <c r="F9" s="4"/>
      <c r="G9" s="4"/>
      <c r="H9" s="4"/>
      <c r="I9" s="4"/>
      <c r="J9" s="4"/>
    </row>
    <row r="10" spans="1:10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0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0" x14ac:dyDescent="0.35">
      <c r="D12">
        <f>uitkomst!E21</f>
        <v>25000000</v>
      </c>
      <c r="E12" s="2">
        <f>E11</f>
        <v>0.29499999999999998</v>
      </c>
      <c r="F12" s="4">
        <f>D12*E12</f>
        <v>7375000</v>
      </c>
    </row>
    <row r="13" spans="1:10" x14ac:dyDescent="0.35">
      <c r="D13">
        <f>D12-D11</f>
        <v>15000000</v>
      </c>
      <c r="E13" s="2">
        <f>E12</f>
        <v>0.29499999999999998</v>
      </c>
      <c r="F13" s="4">
        <f>D13*E13</f>
        <v>4425000</v>
      </c>
    </row>
    <row r="14" spans="1:10" x14ac:dyDescent="0.35">
      <c r="B14" t="s">
        <v>32</v>
      </c>
      <c r="E14" t="s">
        <v>3</v>
      </c>
      <c r="H14" t="s">
        <v>4</v>
      </c>
    </row>
    <row r="15" spans="1:10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</row>
    <row r="16" spans="1:10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</row>
    <row r="17" spans="1:8" x14ac:dyDescent="0.35">
      <c r="D17" s="2"/>
      <c r="E17" s="9">
        <f>E15+E16</f>
        <v>9375000</v>
      </c>
      <c r="F17" s="9"/>
      <c r="G17" s="9"/>
      <c r="H17" s="9">
        <f>H15+H16</f>
        <v>7310000</v>
      </c>
    </row>
    <row r="18" spans="1:8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</row>
    <row r="19" spans="1:8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</row>
    <row r="20" spans="1:8" x14ac:dyDescent="0.35">
      <c r="E20" s="9">
        <f>E17+E18+E19</f>
        <v>1400901.4900000002</v>
      </c>
      <c r="H20" s="9">
        <f>H17+H18+H19</f>
        <v>1049851.4900000002</v>
      </c>
    </row>
    <row r="21" spans="1:8" x14ac:dyDescent="0.35">
      <c r="A21" t="s">
        <v>7</v>
      </c>
      <c r="E21" s="7">
        <v>-5677</v>
      </c>
      <c r="H21" s="7">
        <v>-5677</v>
      </c>
    </row>
    <row r="22" spans="1:8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</row>
    <row r="23" spans="1:8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</row>
    <row r="24" spans="1:8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</row>
    <row r="25" spans="1:8" x14ac:dyDescent="0.35">
      <c r="E25" s="4">
        <f>E23+E24</f>
        <v>266001.5</v>
      </c>
      <c r="H25" s="4">
        <f>H23+H24</f>
        <v>195791.5</v>
      </c>
    </row>
    <row r="27" spans="1:8" x14ac:dyDescent="0.35">
      <c r="A27" t="s">
        <v>31</v>
      </c>
      <c r="E27" s="9">
        <f>E15</f>
        <v>10000000</v>
      </c>
    </row>
    <row r="28" spans="1:8" x14ac:dyDescent="0.35">
      <c r="A28" t="s">
        <v>33</v>
      </c>
      <c r="D28" s="2">
        <v>6.25E-2</v>
      </c>
      <c r="E28" s="10">
        <f>E27*-D28</f>
        <v>-625000</v>
      </c>
    </row>
    <row r="29" spans="1:8" x14ac:dyDescent="0.35">
      <c r="D29" s="2"/>
      <c r="E29" s="9">
        <f>E27+E28</f>
        <v>9375000</v>
      </c>
    </row>
    <row r="30" spans="1:8" x14ac:dyDescent="0.35">
      <c r="A30" t="s">
        <v>7</v>
      </c>
      <c r="E30" s="7">
        <v>-5677</v>
      </c>
    </row>
    <row r="31" spans="1:8" x14ac:dyDescent="0.35">
      <c r="A31" s="5" t="s">
        <v>8</v>
      </c>
      <c r="B31" s="5"/>
      <c r="C31" s="5"/>
      <c r="D31" s="5"/>
      <c r="E31" s="6">
        <f>E29+E30</f>
        <v>9369323</v>
      </c>
    </row>
    <row r="32" spans="1:8" x14ac:dyDescent="0.35">
      <c r="A32" t="s">
        <v>9</v>
      </c>
      <c r="C32">
        <f>IF(E31&gt;130425,130425,E31)</f>
        <v>130425</v>
      </c>
      <c r="D32" s="3">
        <v>0.1</v>
      </c>
      <c r="E32" s="4">
        <f>C32*D32</f>
        <v>13042.5</v>
      </c>
    </row>
    <row r="33" spans="1:5" x14ac:dyDescent="0.35">
      <c r="A33" t="s">
        <v>10</v>
      </c>
      <c r="C33" s="4">
        <f>E31-C32</f>
        <v>9238898</v>
      </c>
      <c r="D33" s="3">
        <v>0.2</v>
      </c>
      <c r="E33" s="7">
        <f>INT(C33*D33)</f>
        <v>1847779</v>
      </c>
    </row>
    <row r="34" spans="1:5" x14ac:dyDescent="0.35">
      <c r="E34" s="4">
        <f>E32+E33</f>
        <v>1860821.5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D232-2BDC-4F94-8C71-52EC7BB1385F}">
  <dimension ref="A1:L34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E34</f>
        <v>1860821.5</v>
      </c>
    </row>
    <row r="4" spans="1:12" x14ac:dyDescent="0.35">
      <c r="D4" t="s">
        <v>17</v>
      </c>
      <c r="F4" s="10">
        <f>F12</f>
        <v>7375000</v>
      </c>
      <c r="G4" s="9"/>
      <c r="H4" s="10">
        <f>F10+F13</f>
        <v>7115000</v>
      </c>
      <c r="I4" s="9"/>
      <c r="J4" s="10">
        <f>F12</f>
        <v>7375000</v>
      </c>
      <c r="K4" t="s">
        <v>37</v>
      </c>
    </row>
    <row r="5" spans="1:12" x14ac:dyDescent="0.35">
      <c r="D5" t="s">
        <v>18</v>
      </c>
      <c r="F5" s="9">
        <f>F3+F4</f>
        <v>7641001.5</v>
      </c>
      <c r="G5" s="9"/>
      <c r="H5" s="9">
        <f>H3+H4</f>
        <v>7310791.5</v>
      </c>
      <c r="I5" s="9"/>
      <c r="J5" s="9">
        <f>J3+J4</f>
        <v>9235821.5</v>
      </c>
    </row>
    <row r="6" spans="1:12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2" x14ac:dyDescent="0.35">
      <c r="D7" t="s">
        <v>19</v>
      </c>
      <c r="F7" s="9">
        <f>F5+F6</f>
        <v>7641001.5</v>
      </c>
      <c r="G7" s="9"/>
      <c r="H7" s="9">
        <f>H5+H6</f>
        <v>7310791.5</v>
      </c>
      <c r="I7" s="9"/>
      <c r="J7" s="9">
        <f>J5+J6</f>
        <v>9235821.5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2" x14ac:dyDescent="0.35">
      <c r="D12">
        <f>uitkomst!E21</f>
        <v>25000000</v>
      </c>
      <c r="E12" s="2">
        <f>E11</f>
        <v>0.29499999999999998</v>
      </c>
      <c r="F12" s="4">
        <f>D12*E12</f>
        <v>7375000</v>
      </c>
    </row>
    <row r="13" spans="1:12" x14ac:dyDescent="0.35">
      <c r="D13">
        <f>D12-D11</f>
        <v>15000000</v>
      </c>
      <c r="E13" s="2">
        <f>E12</f>
        <v>0.29499999999999998</v>
      </c>
      <c r="F13" s="4">
        <f>D13*E13</f>
        <v>4425000</v>
      </c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>
        <v>6.25E-2</v>
      </c>
      <c r="L16" s="10">
        <f>L15*-K16</f>
        <v>-625000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9375000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0.8</v>
      </c>
      <c r="L18" s="9">
        <f>-J18*K18</f>
        <v>-907522.4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8467477.5999999996</v>
      </c>
      <c r="K19" s="3">
        <v>0.4</v>
      </c>
      <c r="L19" s="10">
        <f>-J19*K19</f>
        <v>-3386991.04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5080486.5599999996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5074809.5599999996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4944384.5599999996</v>
      </c>
      <c r="K24" s="3">
        <v>0.2</v>
      </c>
      <c r="L24" s="7">
        <f>INT(J24*K24)</f>
        <v>988876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1001918.5</v>
      </c>
    </row>
    <row r="27" spans="1:12" x14ac:dyDescent="0.35">
      <c r="A27" t="s">
        <v>31</v>
      </c>
      <c r="E27" s="9">
        <f>E15</f>
        <v>10000000</v>
      </c>
    </row>
    <row r="28" spans="1:12" x14ac:dyDescent="0.35">
      <c r="A28" t="s">
        <v>33</v>
      </c>
      <c r="D28" s="2">
        <v>6.25E-2</v>
      </c>
      <c r="E28" s="10">
        <f>E27*-D28</f>
        <v>-625000</v>
      </c>
    </row>
    <row r="29" spans="1:12" x14ac:dyDescent="0.35">
      <c r="D29" s="2"/>
      <c r="E29" s="9">
        <f>E27+E28</f>
        <v>9375000</v>
      </c>
    </row>
    <row r="30" spans="1:12" x14ac:dyDescent="0.35">
      <c r="A30" t="s">
        <v>7</v>
      </c>
      <c r="E30" s="7">
        <v>-5677</v>
      </c>
    </row>
    <row r="31" spans="1:12" x14ac:dyDescent="0.35">
      <c r="A31" s="5" t="s">
        <v>8</v>
      </c>
      <c r="B31" s="5"/>
      <c r="C31" s="5"/>
      <c r="D31" s="5"/>
      <c r="E31" s="6">
        <f>E29+E30</f>
        <v>9369323</v>
      </c>
    </row>
    <row r="32" spans="1:12" x14ac:dyDescent="0.35">
      <c r="A32" t="s">
        <v>9</v>
      </c>
      <c r="C32">
        <f>IF(E31&gt;130425,130425,E31)</f>
        <v>130425</v>
      </c>
      <c r="D32" s="3">
        <v>0.1</v>
      </c>
      <c r="E32" s="4">
        <f>C32*D32</f>
        <v>13042.5</v>
      </c>
    </row>
    <row r="33" spans="1:5" x14ac:dyDescent="0.35">
      <c r="A33" t="s">
        <v>10</v>
      </c>
      <c r="C33" s="4">
        <f>E31-C32</f>
        <v>9238898</v>
      </c>
      <c r="D33" s="3">
        <v>0.2</v>
      </c>
      <c r="E33" s="7">
        <f>INT(C33*D33)</f>
        <v>1847779</v>
      </c>
    </row>
    <row r="34" spans="1:5" x14ac:dyDescent="0.35">
      <c r="E34" s="4">
        <f>E32+E33</f>
        <v>1860821.5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F243-76C0-4D6A-9769-8180CE9CA73E}">
  <dimension ref="A1:L34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E34</f>
        <v>1860821.5</v>
      </c>
    </row>
    <row r="4" spans="1:12" x14ac:dyDescent="0.35">
      <c r="D4" t="s">
        <v>17</v>
      </c>
      <c r="F4" s="10">
        <f>F12</f>
        <v>10237500</v>
      </c>
      <c r="G4" s="9"/>
      <c r="H4" s="10">
        <f>F10+F13</f>
        <v>8832500</v>
      </c>
      <c r="I4" s="9"/>
      <c r="J4" s="10">
        <f>F12</f>
        <v>10237500</v>
      </c>
    </row>
    <row r="5" spans="1:12" x14ac:dyDescent="0.35">
      <c r="D5" t="s">
        <v>18</v>
      </c>
      <c r="F5" s="9">
        <f>F3+F4</f>
        <v>10503501.5</v>
      </c>
      <c r="G5" s="9"/>
      <c r="H5" s="9">
        <f>H3+H4</f>
        <v>9028291.5</v>
      </c>
      <c r="I5" s="9"/>
      <c r="J5" s="9">
        <f>J3+J4</f>
        <v>12098321.5</v>
      </c>
    </row>
    <row r="6" spans="1:12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2" x14ac:dyDescent="0.35">
      <c r="D7" t="s">
        <v>19</v>
      </c>
      <c r="F7" s="9">
        <f>F5+F6</f>
        <v>10503501.5</v>
      </c>
      <c r="G7" s="9"/>
      <c r="H7" s="9">
        <f>H5+H6</f>
        <v>9028291.5</v>
      </c>
      <c r="I7" s="9"/>
      <c r="J7" s="9">
        <f>J5+J6</f>
        <v>12098321.5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0.40949999999999998</v>
      </c>
      <c r="F11" s="4">
        <f>D11*E11</f>
        <v>4094999.9999999995</v>
      </c>
    </row>
    <row r="12" spans="1:12" x14ac:dyDescent="0.35">
      <c r="D12">
        <f>uitkomst!E21</f>
        <v>25000000</v>
      </c>
      <c r="E12" s="2">
        <f>E11</f>
        <v>0.40949999999999998</v>
      </c>
      <c r="F12" s="4">
        <f>D12*E12</f>
        <v>10237500</v>
      </c>
    </row>
    <row r="13" spans="1:12" x14ac:dyDescent="0.35">
      <c r="D13">
        <f>D12-D11</f>
        <v>15000000</v>
      </c>
      <c r="E13" s="2">
        <f>E12</f>
        <v>0.40949999999999998</v>
      </c>
      <c r="F13" s="4">
        <f>D13*E13</f>
        <v>6142500</v>
      </c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>
        <v>6.25E-2</v>
      </c>
      <c r="L16" s="10">
        <f>L15*-K16</f>
        <v>-625000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9375000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0.25</v>
      </c>
      <c r="L18" s="9">
        <f>-J18*K18</f>
        <v>-283600.75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9091399.25</v>
      </c>
      <c r="K19" s="3">
        <v>0</v>
      </c>
      <c r="L19" s="10">
        <f>-J19*K19</f>
        <v>0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9091399.25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9085722.25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8955297.25</v>
      </c>
      <c r="K24" s="3">
        <v>0.2</v>
      </c>
      <c r="L24" s="7">
        <f>INT(J24*K24)</f>
        <v>1791059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1804101.5</v>
      </c>
    </row>
    <row r="27" spans="1:12" x14ac:dyDescent="0.35">
      <c r="A27" t="s">
        <v>31</v>
      </c>
      <c r="E27" s="9">
        <f>E15</f>
        <v>10000000</v>
      </c>
    </row>
    <row r="28" spans="1:12" x14ac:dyDescent="0.35">
      <c r="A28" t="s">
        <v>33</v>
      </c>
      <c r="D28" s="2">
        <v>6.25E-2</v>
      </c>
      <c r="E28" s="10">
        <f>E27*-D28</f>
        <v>-625000</v>
      </c>
    </row>
    <row r="29" spans="1:12" x14ac:dyDescent="0.35">
      <c r="D29" s="2"/>
      <c r="E29" s="9">
        <f>E27+E28</f>
        <v>9375000</v>
      </c>
    </row>
    <row r="30" spans="1:12" x14ac:dyDescent="0.35">
      <c r="A30" t="s">
        <v>7</v>
      </c>
      <c r="E30" s="7">
        <v>-5677</v>
      </c>
    </row>
    <row r="31" spans="1:12" x14ac:dyDescent="0.35">
      <c r="A31" s="5" t="s">
        <v>8</v>
      </c>
      <c r="B31" s="5"/>
      <c r="C31" s="5"/>
      <c r="D31" s="5"/>
      <c r="E31" s="6">
        <f>E29+E30</f>
        <v>9369323</v>
      </c>
    </row>
    <row r="32" spans="1:12" x14ac:dyDescent="0.35">
      <c r="A32" t="s">
        <v>9</v>
      </c>
      <c r="C32">
        <f>IF(E31&gt;130425,130425,E31)</f>
        <v>130425</v>
      </c>
      <c r="D32" s="3">
        <v>0.1</v>
      </c>
      <c r="E32" s="4">
        <f>C32*D32</f>
        <v>13042.5</v>
      </c>
    </row>
    <row r="33" spans="1:5" x14ac:dyDescent="0.35">
      <c r="A33" t="s">
        <v>10</v>
      </c>
      <c r="C33" s="4">
        <f>E31-C32</f>
        <v>9238898</v>
      </c>
      <c r="D33" s="3">
        <v>0.2</v>
      </c>
      <c r="E33" s="7">
        <f>INT(C33*D33)</f>
        <v>1847779</v>
      </c>
    </row>
    <row r="34" spans="1:5" x14ac:dyDescent="0.35">
      <c r="E34" s="4">
        <f>E32+E33</f>
        <v>1860821.5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1E81-A4BF-410A-848A-DD5E54AEBA7B}">
  <dimension ref="A1"/>
  <sheetViews>
    <sheetView workbookViewId="0">
      <selection activeCell="F20" sqref="F20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4745-AE06-4128-9A8B-5A73A0AB1006}">
  <dimension ref="A3:L29"/>
  <sheetViews>
    <sheetView workbookViewId="0">
      <selection activeCell="D4" sqref="D4"/>
    </sheetView>
  </sheetViews>
  <sheetFormatPr defaultRowHeight="14.5" x14ac:dyDescent="0.35"/>
  <cols>
    <col min="5" max="12" width="8.90625" bestFit="1" customWidth="1"/>
  </cols>
  <sheetData>
    <row r="3" spans="1:12" x14ac:dyDescent="0.35">
      <c r="A3">
        <f>uitkomst!D19</f>
        <v>1</v>
      </c>
      <c r="B3">
        <f>uitkomst!L19</f>
        <v>1</v>
      </c>
      <c r="D3">
        <f>A3*10+B3+10</f>
        <v>21</v>
      </c>
    </row>
    <row r="6" spans="1:12" x14ac:dyDescent="0.35">
      <c r="D6">
        <v>11</v>
      </c>
      <c r="E6">
        <v>12</v>
      </c>
      <c r="F6">
        <v>13</v>
      </c>
      <c r="G6">
        <v>21</v>
      </c>
      <c r="H6">
        <v>22</v>
      </c>
      <c r="I6">
        <v>23</v>
      </c>
      <c r="J6">
        <v>31</v>
      </c>
      <c r="K6">
        <v>32</v>
      </c>
      <c r="L6">
        <v>33</v>
      </c>
    </row>
    <row r="7" spans="1:12" x14ac:dyDescent="0.35">
      <c r="B7" t="s">
        <v>38</v>
      </c>
      <c r="C7" t="s">
        <v>41</v>
      </c>
      <c r="D7" s="9">
        <f>'1.1'!$F3</f>
        <v>266001.5</v>
      </c>
      <c r="E7" s="9">
        <f>'1.2'!$F3</f>
        <v>266001.5</v>
      </c>
      <c r="F7" s="9">
        <f>'1.3'!$F3</f>
        <v>266001.5</v>
      </c>
      <c r="G7" s="9">
        <f>'2.1'!$F3</f>
        <v>266001.5</v>
      </c>
      <c r="H7" s="9">
        <f>'2.2'!$F3</f>
        <v>266001.5</v>
      </c>
      <c r="I7" s="9">
        <f>'2.3'!$F3</f>
        <v>266001.5</v>
      </c>
      <c r="J7" s="9">
        <f>'3.1'!$F3</f>
        <v>266001.5</v>
      </c>
      <c r="K7" s="9">
        <f>'3.2'!$F3</f>
        <v>266001.5</v>
      </c>
      <c r="L7" s="9">
        <f>'3.3'!$F3</f>
        <v>266001.5</v>
      </c>
    </row>
    <row r="8" spans="1:12" x14ac:dyDescent="0.35">
      <c r="C8" t="s">
        <v>44</v>
      </c>
      <c r="D8" s="9">
        <f>'1.1'!$F4</f>
        <v>0</v>
      </c>
      <c r="E8" s="9">
        <f>'1.2'!$F4</f>
        <v>0</v>
      </c>
      <c r="F8" s="9">
        <f>'1.3'!$F4</f>
        <v>0</v>
      </c>
      <c r="G8" s="9">
        <f>'2.1'!$F4</f>
        <v>7375000</v>
      </c>
      <c r="H8" s="9">
        <f>'2.2'!$F4</f>
        <v>7375000</v>
      </c>
      <c r="I8" s="9">
        <f>'2.3'!$F4</f>
        <v>10237500</v>
      </c>
      <c r="J8" s="9">
        <f>'3.1'!$F4</f>
        <v>7375000</v>
      </c>
      <c r="K8" s="9">
        <f>'3.2'!$F4</f>
        <v>7375000</v>
      </c>
      <c r="L8" s="9">
        <f>'3.3'!$F4</f>
        <v>10237500</v>
      </c>
    </row>
    <row r="9" spans="1:12" x14ac:dyDescent="0.35">
      <c r="C9" t="s">
        <v>42</v>
      </c>
      <c r="D9" s="9">
        <f>'1.1'!$F5</f>
        <v>266001.5</v>
      </c>
      <c r="E9" s="9">
        <f>'1.2'!$F5</f>
        <v>266001.5</v>
      </c>
      <c r="F9" s="9">
        <f>'1.3'!$F5</f>
        <v>266001.5</v>
      </c>
      <c r="G9" s="9">
        <f>'2.1'!$F5</f>
        <v>7641001.5</v>
      </c>
      <c r="H9" s="9">
        <f>'2.2'!$F5</f>
        <v>7641001.5</v>
      </c>
      <c r="I9" s="9">
        <f>'2.3'!$F5</f>
        <v>10503501.5</v>
      </c>
      <c r="J9" s="9">
        <f>'3.1'!$F5</f>
        <v>7641001.5</v>
      </c>
      <c r="K9" s="9">
        <f>'3.2'!$F5</f>
        <v>7641001.5</v>
      </c>
      <c r="L9" s="9">
        <f>'3.3'!$F5</f>
        <v>10503501.5</v>
      </c>
    </row>
    <row r="10" spans="1:12" x14ac:dyDescent="0.35">
      <c r="C10" t="s">
        <v>43</v>
      </c>
      <c r="D10" s="9">
        <f>'1.1'!$F6</f>
        <v>2950000</v>
      </c>
      <c r="E10" s="9">
        <f>'1.2'!$F6</f>
        <v>2950000</v>
      </c>
      <c r="F10" s="9">
        <f>'1.3'!$F6</f>
        <v>4094999.9999999995</v>
      </c>
      <c r="G10" s="9">
        <f>'2.1'!$F6</f>
        <v>0</v>
      </c>
      <c r="H10" s="9">
        <f>'2.2'!$F6</f>
        <v>0</v>
      </c>
      <c r="I10" s="9">
        <f>'2.3'!$F6</f>
        <v>0</v>
      </c>
      <c r="J10" s="9">
        <f>'3.1'!$F6</f>
        <v>0</v>
      </c>
      <c r="K10" s="9">
        <f>'3.2'!$F6</f>
        <v>0</v>
      </c>
      <c r="L10" s="9">
        <f>'3.3'!$F6</f>
        <v>0</v>
      </c>
    </row>
    <row r="11" spans="1:12" x14ac:dyDescent="0.35">
      <c r="C11" t="s">
        <v>45</v>
      </c>
      <c r="D11" s="9">
        <f>'1.1'!$F7</f>
        <v>3216001.5</v>
      </c>
      <c r="E11" s="9">
        <f>'1.2'!$F7</f>
        <v>3216001.5</v>
      </c>
      <c r="F11" s="9">
        <f>'1.3'!$F7</f>
        <v>4361001.5</v>
      </c>
      <c r="G11" s="9">
        <f>'2.1'!$F7</f>
        <v>7641001.5</v>
      </c>
      <c r="H11" s="9">
        <f>'2.2'!$F7</f>
        <v>7641001.5</v>
      </c>
      <c r="I11" s="9">
        <f>'2.3'!$F7</f>
        <v>10503501.5</v>
      </c>
      <c r="J11" s="9">
        <f>'3.1'!$F7</f>
        <v>7641001.5</v>
      </c>
      <c r="K11" s="9">
        <f>'3.2'!$F7</f>
        <v>7641001.5</v>
      </c>
      <c r="L11" s="9">
        <f>'3.3'!$F7</f>
        <v>10503501.5</v>
      </c>
    </row>
    <row r="12" spans="1:12" x14ac:dyDescent="0.35">
      <c r="B12" t="s">
        <v>39</v>
      </c>
      <c r="C12" t="s">
        <v>41</v>
      </c>
      <c r="D12" s="9">
        <f>'1.1'!$H3</f>
        <v>195791.5</v>
      </c>
      <c r="E12" s="9">
        <f>'1.2'!$H3</f>
        <v>195791.5</v>
      </c>
      <c r="F12" s="9">
        <f>'1.3'!$H3</f>
        <v>195791.5</v>
      </c>
      <c r="G12" s="9">
        <f>'2.1'!$H3</f>
        <v>195791.5</v>
      </c>
      <c r="H12" s="9">
        <f>'2.2'!$H3</f>
        <v>195791.5</v>
      </c>
      <c r="I12" s="9">
        <f>'2.3'!$H3</f>
        <v>195791.5</v>
      </c>
      <c r="J12" s="9">
        <f>'3.1'!$H3</f>
        <v>195791.5</v>
      </c>
      <c r="K12" s="9">
        <f>'3.2'!$H3</f>
        <v>195791.5</v>
      </c>
      <c r="L12" s="9">
        <f>'3.3'!$H3</f>
        <v>195791.5</v>
      </c>
    </row>
    <row r="13" spans="1:12" x14ac:dyDescent="0.35">
      <c r="C13" t="s">
        <v>44</v>
      </c>
      <c r="D13" s="9">
        <f>'1.1'!$H4</f>
        <v>2690000</v>
      </c>
      <c r="E13" s="9">
        <f>'1.2'!$H4</f>
        <v>2690000</v>
      </c>
      <c r="F13" s="9">
        <f>'1.3'!$H4</f>
        <v>2690000</v>
      </c>
      <c r="G13" s="9">
        <f>'2.1'!$H4</f>
        <v>7115000</v>
      </c>
      <c r="H13" s="9">
        <f>'2.2'!$H4</f>
        <v>7115000</v>
      </c>
      <c r="I13" s="9">
        <f>'2.3'!$H4</f>
        <v>8832500</v>
      </c>
      <c r="J13" s="9">
        <f>'3.1'!$H4</f>
        <v>7115000</v>
      </c>
      <c r="K13" s="9">
        <f>'3.2'!$H4</f>
        <v>7115000</v>
      </c>
      <c r="L13" s="9">
        <f>'3.3'!$H4</f>
        <v>8832500</v>
      </c>
    </row>
    <row r="14" spans="1:12" x14ac:dyDescent="0.35">
      <c r="C14" t="s">
        <v>42</v>
      </c>
      <c r="D14" s="9">
        <f>'1.1'!$H5</f>
        <v>2885791.5</v>
      </c>
      <c r="E14" s="9">
        <f>'1.2'!$H5</f>
        <v>2885791.5</v>
      </c>
      <c r="F14" s="9">
        <f>'1.3'!$H5</f>
        <v>2885791.5</v>
      </c>
      <c r="G14" s="9">
        <f>'2.1'!$H5</f>
        <v>7310791.5</v>
      </c>
      <c r="H14" s="9">
        <f>'2.2'!$H5</f>
        <v>7310791.5</v>
      </c>
      <c r="I14" s="9">
        <f>'2.3'!$H5</f>
        <v>9028291.5</v>
      </c>
      <c r="J14" s="9">
        <f>'3.1'!$H5</f>
        <v>7310791.5</v>
      </c>
      <c r="K14" s="9">
        <f>'3.2'!$H5</f>
        <v>7310791.5</v>
      </c>
      <c r="L14" s="9">
        <f>'3.3'!$H5</f>
        <v>9028291.5</v>
      </c>
    </row>
    <row r="15" spans="1:12" x14ac:dyDescent="0.35">
      <c r="C15" t="s">
        <v>43</v>
      </c>
      <c r="D15" s="9">
        <f>'1.1'!$H6</f>
        <v>0</v>
      </c>
      <c r="E15" s="9">
        <f>'1.2'!$H6</f>
        <v>0</v>
      </c>
      <c r="F15" s="9">
        <f>'1.3'!$H6</f>
        <v>0</v>
      </c>
      <c r="G15" s="9">
        <f>'2.1'!$H6</f>
        <v>0</v>
      </c>
      <c r="H15" s="9">
        <f>'2.2'!$H6</f>
        <v>0</v>
      </c>
      <c r="I15" s="9">
        <f>'2.3'!$H6</f>
        <v>0</v>
      </c>
      <c r="J15" s="9">
        <f>'3.1'!$H6</f>
        <v>0</v>
      </c>
      <c r="K15" s="9">
        <f>'3.2'!$H6</f>
        <v>0</v>
      </c>
      <c r="L15" s="9">
        <f>'3.3'!$H6</f>
        <v>0</v>
      </c>
    </row>
    <row r="16" spans="1:12" x14ac:dyDescent="0.35">
      <c r="C16" t="s">
        <v>45</v>
      </c>
      <c r="D16" s="9">
        <f>'1.1'!$H7</f>
        <v>2885791.5</v>
      </c>
      <c r="E16" s="9">
        <f>'1.2'!$H7</f>
        <v>2885791.5</v>
      </c>
      <c r="F16" s="9">
        <f>'1.3'!$H7</f>
        <v>2885791.5</v>
      </c>
      <c r="G16" s="9">
        <f>'2.1'!$H7</f>
        <v>7310791.5</v>
      </c>
      <c r="H16" s="9">
        <f>'2.2'!$H7</f>
        <v>7310791.5</v>
      </c>
      <c r="I16" s="9">
        <f>'2.3'!$H7</f>
        <v>9028291.5</v>
      </c>
      <c r="J16" s="9">
        <f>'3.1'!$H7</f>
        <v>7310791.5</v>
      </c>
      <c r="K16" s="9">
        <f>'3.2'!$H7</f>
        <v>7310791.5</v>
      </c>
      <c r="L16" s="9">
        <f>'3.3'!$H7</f>
        <v>9028291.5</v>
      </c>
    </row>
    <row r="17" spans="1:12" x14ac:dyDescent="0.35">
      <c r="B17" t="s">
        <v>40</v>
      </c>
      <c r="C17" t="s">
        <v>41</v>
      </c>
      <c r="D17" s="9">
        <f>'1.1'!$J3</f>
        <v>266001.5</v>
      </c>
      <c r="E17" s="9">
        <f>'1.2'!$J3</f>
        <v>1001918.5</v>
      </c>
      <c r="F17" s="9">
        <f>'1.3'!$J3</f>
        <v>2748101.5</v>
      </c>
      <c r="G17" s="9">
        <f>'2.1'!$J3</f>
        <v>266001.5</v>
      </c>
      <c r="H17" s="9">
        <f>'2.2'!$J3</f>
        <v>1001918.5</v>
      </c>
      <c r="I17" s="9">
        <f>'2.3'!$J3</f>
        <v>1804101.5</v>
      </c>
      <c r="J17" s="9">
        <f>'3.1'!$J3</f>
        <v>1860821.5</v>
      </c>
      <c r="K17" s="9">
        <f>'3.2'!$J3</f>
        <v>1860821.5</v>
      </c>
      <c r="L17" s="9">
        <f>'3.3'!$J3</f>
        <v>1860821.5</v>
      </c>
    </row>
    <row r="18" spans="1:12" x14ac:dyDescent="0.35">
      <c r="C18" t="s">
        <v>44</v>
      </c>
      <c r="D18" s="9">
        <f>'1.1'!$J4</f>
        <v>0</v>
      </c>
      <c r="E18" s="9">
        <f>'1.2'!$J4</f>
        <v>0</v>
      </c>
      <c r="F18" s="9">
        <f>'1.3'!$J4</f>
        <v>4094999.9999999995</v>
      </c>
      <c r="G18" s="9">
        <f>'2.1'!$J4</f>
        <v>7375000</v>
      </c>
      <c r="H18" s="9">
        <f>'2.2'!$J4</f>
        <v>7375000</v>
      </c>
      <c r="I18" s="9">
        <f>'2.3'!$J4</f>
        <v>10237500</v>
      </c>
      <c r="J18" s="9">
        <f>'3.1'!$J4</f>
        <v>7375000</v>
      </c>
      <c r="K18" s="9">
        <f>'3.2'!$J4</f>
        <v>7375000</v>
      </c>
      <c r="L18" s="9">
        <f>'3.3'!$J4</f>
        <v>10237500</v>
      </c>
    </row>
    <row r="19" spans="1:12" x14ac:dyDescent="0.35">
      <c r="C19" t="s">
        <v>42</v>
      </c>
      <c r="D19" s="9">
        <f>'1.1'!$J5</f>
        <v>266001.5</v>
      </c>
      <c r="E19" s="9">
        <f>'1.2'!$J5</f>
        <v>1001918.5</v>
      </c>
      <c r="F19" s="9">
        <f>'1.3'!$J5</f>
        <v>6843101.5</v>
      </c>
      <c r="G19" s="9">
        <f>'2.1'!$J5</f>
        <v>7641001.5</v>
      </c>
      <c r="H19" s="9">
        <f>'2.2'!$J5</f>
        <v>8376918.5</v>
      </c>
      <c r="I19" s="9">
        <f>'2.3'!$J5</f>
        <v>12041601.5</v>
      </c>
      <c r="J19" s="9">
        <f>'3.1'!$J5</f>
        <v>9235821.5</v>
      </c>
      <c r="K19" s="9">
        <f>'3.2'!$J5</f>
        <v>9235821.5</v>
      </c>
      <c r="L19" s="9">
        <f>'3.3'!$J5</f>
        <v>12098321.5</v>
      </c>
    </row>
    <row r="20" spans="1:12" x14ac:dyDescent="0.35">
      <c r="C20" t="s">
        <v>43</v>
      </c>
      <c r="D20" s="9">
        <f>'1.1'!$J6</f>
        <v>2950000</v>
      </c>
      <c r="E20" s="9">
        <f>'1.2'!$J6</f>
        <v>2950000</v>
      </c>
      <c r="F20" s="9">
        <f>'1.3'!$J6</f>
        <v>0</v>
      </c>
      <c r="G20" s="9">
        <f>'2.1'!$J6</f>
        <v>0</v>
      </c>
      <c r="H20" s="9">
        <f>'2.2'!$J6</f>
        <v>0</v>
      </c>
      <c r="I20" s="9">
        <f>'2.3'!$J6</f>
        <v>0</v>
      </c>
      <c r="J20" s="9">
        <f>'3.1'!$J6</f>
        <v>0</v>
      </c>
      <c r="K20" s="9">
        <f>'3.2'!$J6</f>
        <v>0</v>
      </c>
      <c r="L20" s="9">
        <f>'3.3'!$J6</f>
        <v>0</v>
      </c>
    </row>
    <row r="21" spans="1:12" x14ac:dyDescent="0.35">
      <c r="C21" t="s">
        <v>45</v>
      </c>
      <c r="D21" s="9">
        <f>'1.1'!$J7</f>
        <v>3216001.5</v>
      </c>
      <c r="E21" s="9">
        <f>'1.2'!$J7</f>
        <v>3951918.5</v>
      </c>
      <c r="F21" s="9">
        <f>'1.3'!$J7</f>
        <v>6843101.5</v>
      </c>
      <c r="G21" s="9">
        <f>'2.1'!$J7</f>
        <v>7641001.5</v>
      </c>
      <c r="H21" s="9">
        <f>'2.2'!$J7</f>
        <v>8376918.5</v>
      </c>
      <c r="I21" s="9">
        <f>'2.3'!$J7</f>
        <v>12041601.5</v>
      </c>
      <c r="J21" s="9">
        <f>'3.1'!$J7</f>
        <v>9235821.5</v>
      </c>
      <c r="K21" s="9">
        <f>'3.2'!$J7</f>
        <v>9235821.5</v>
      </c>
      <c r="L21" s="9">
        <f>'3.3'!$J7</f>
        <v>12098321.5</v>
      </c>
    </row>
    <row r="23" spans="1:12" x14ac:dyDescent="0.35">
      <c r="A23" t="s">
        <v>12</v>
      </c>
      <c r="F23">
        <v>1</v>
      </c>
      <c r="G23" s="8" t="s">
        <v>14</v>
      </c>
      <c r="H23">
        <v>1</v>
      </c>
      <c r="I23" s="8" t="s">
        <v>15</v>
      </c>
      <c r="J23">
        <v>4</v>
      </c>
    </row>
    <row r="24" spans="1:12" x14ac:dyDescent="0.35">
      <c r="A24" t="s">
        <v>13</v>
      </c>
      <c r="F24" s="1" t="s">
        <v>3</v>
      </c>
      <c r="G24" s="1"/>
      <c r="H24" s="1" t="s">
        <v>4</v>
      </c>
      <c r="I24" s="1"/>
      <c r="J24" s="1" t="s">
        <v>3</v>
      </c>
    </row>
    <row r="25" spans="1:12" x14ac:dyDescent="0.35">
      <c r="D25" t="s">
        <v>5</v>
      </c>
      <c r="F25">
        <f>HLOOKUP($D$3,tabel,2)</f>
        <v>266001.5</v>
      </c>
      <c r="H25">
        <f>HLOOKUP($D$3,tabel,7)</f>
        <v>195791.5</v>
      </c>
      <c r="J25">
        <f>HLOOKUP($D$3,tabel,12)</f>
        <v>266001.5</v>
      </c>
    </row>
    <row r="26" spans="1:12" x14ac:dyDescent="0.35">
      <c r="D26" t="s">
        <v>29</v>
      </c>
      <c r="F26">
        <f>HLOOKUP($D$3,tabel,3)</f>
        <v>7375000</v>
      </c>
      <c r="H26">
        <f>HLOOKUP($D$3,tabel,8)</f>
        <v>7115000</v>
      </c>
      <c r="J26">
        <f>HLOOKUP($D$3,tabel,13)</f>
        <v>7375000</v>
      </c>
    </row>
    <row r="27" spans="1:12" x14ac:dyDescent="0.35">
      <c r="D27" t="s">
        <v>18</v>
      </c>
      <c r="F27">
        <f>HLOOKUP($D$3,tabel,4)</f>
        <v>7641001.5</v>
      </c>
      <c r="H27">
        <f>HLOOKUP($D$3,tabel,9)</f>
        <v>7310791.5</v>
      </c>
      <c r="J27">
        <f>HLOOKUP($D$3,tabel,14)</f>
        <v>7641001.5</v>
      </c>
    </row>
    <row r="28" spans="1:12" x14ac:dyDescent="0.35">
      <c r="D28" t="s">
        <v>26</v>
      </c>
      <c r="F28">
        <f>HLOOKUP($D$3,tabel,5)</f>
        <v>0</v>
      </c>
      <c r="H28">
        <f>HLOOKUP($D$3,tabel,10)</f>
        <v>0</v>
      </c>
      <c r="J28">
        <f>HLOOKUP($D$3,tabel,15)</f>
        <v>0</v>
      </c>
    </row>
    <row r="29" spans="1:12" x14ac:dyDescent="0.35">
      <c r="D29" t="s">
        <v>19</v>
      </c>
      <c r="F29">
        <f>HLOOKUP($D$3,tabel,6)</f>
        <v>7641001.5</v>
      </c>
      <c r="H29">
        <f>HLOOKUP($D$3,tabel,11)</f>
        <v>7310791.5</v>
      </c>
      <c r="J29">
        <f>HLOOKUP($D$3,tabel,16)</f>
        <v>7641001.5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FA4A-3D1A-4D51-8234-44D1CBA63012}">
  <dimension ref="A1:J25"/>
  <sheetViews>
    <sheetView topLeftCell="A7" workbookViewId="0">
      <selection activeCell="J17" sqref="J17"/>
    </sheetView>
  </sheetViews>
  <sheetFormatPr defaultRowHeight="14.5" x14ac:dyDescent="0.35"/>
  <cols>
    <col min="5" max="5" width="11.08984375" customWidth="1"/>
    <col min="8" max="8" width="9.7265625" customWidth="1"/>
    <col min="10" max="10" width="9.90625" bestFit="1" customWidth="1"/>
  </cols>
  <sheetData>
    <row r="1" spans="1:10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0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0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F3</f>
        <v>266001.5</v>
      </c>
    </row>
    <row r="4" spans="1:10" x14ac:dyDescent="0.35">
      <c r="D4" t="s">
        <v>17</v>
      </c>
      <c r="F4" s="10">
        <v>0</v>
      </c>
      <c r="G4" s="9"/>
      <c r="H4" s="10">
        <f>F10</f>
        <v>2690000</v>
      </c>
      <c r="I4" s="9"/>
      <c r="J4" s="10">
        <v>0</v>
      </c>
    </row>
    <row r="5" spans="1:10" x14ac:dyDescent="0.35">
      <c r="D5" t="s">
        <v>18</v>
      </c>
      <c r="F5" s="9">
        <f>F3+F4</f>
        <v>266001.5</v>
      </c>
      <c r="G5" s="9"/>
      <c r="H5" s="9">
        <f>H3+H4</f>
        <v>2885791.5</v>
      </c>
      <c r="I5" s="9"/>
      <c r="J5" s="9">
        <f>J3+J4</f>
        <v>266001.5</v>
      </c>
    </row>
    <row r="6" spans="1:10" x14ac:dyDescent="0.35">
      <c r="D6" t="s">
        <v>26</v>
      </c>
      <c r="F6" s="10">
        <f>F10</f>
        <v>2690000</v>
      </c>
      <c r="G6" s="9"/>
      <c r="H6" s="10">
        <v>0</v>
      </c>
      <c r="I6" s="9"/>
      <c r="J6" s="10">
        <f>F6</f>
        <v>2690000</v>
      </c>
    </row>
    <row r="7" spans="1:10" x14ac:dyDescent="0.35">
      <c r="D7" t="s">
        <v>19</v>
      </c>
      <c r="F7" s="9">
        <f>F5+F6</f>
        <v>2956001.5</v>
      </c>
      <c r="G7" s="9"/>
      <c r="H7" s="9">
        <f>H5+H6</f>
        <v>2885791.5</v>
      </c>
      <c r="I7" s="9"/>
      <c r="J7" s="9">
        <f>J5+J6</f>
        <v>2956001.5</v>
      </c>
    </row>
    <row r="8" spans="1:10" x14ac:dyDescent="0.35">
      <c r="F8" s="4"/>
      <c r="G8" s="4"/>
      <c r="H8" s="4"/>
      <c r="I8" s="4"/>
      <c r="J8" s="4"/>
    </row>
    <row r="9" spans="1:10" x14ac:dyDescent="0.35">
      <c r="F9" s="4"/>
      <c r="G9" s="4"/>
      <c r="H9" s="4"/>
      <c r="I9" s="4"/>
      <c r="J9" s="4"/>
    </row>
    <row r="10" spans="1:10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0" x14ac:dyDescent="0.35">
      <c r="E11" s="2"/>
    </row>
    <row r="12" spans="1:10" x14ac:dyDescent="0.35">
      <c r="E12" s="2"/>
    </row>
    <row r="13" spans="1:10" x14ac:dyDescent="0.35">
      <c r="E13" s="2"/>
    </row>
    <row r="14" spans="1:10" x14ac:dyDescent="0.35">
      <c r="B14" t="s">
        <v>32</v>
      </c>
      <c r="E14" t="s">
        <v>3</v>
      </c>
      <c r="H14" t="s">
        <v>4</v>
      </c>
    </row>
    <row r="15" spans="1:10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J15" s="9">
        <f>uitkomst!E21</f>
        <v>25000000</v>
      </c>
    </row>
    <row r="16" spans="1:10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J16" s="9">
        <f>-uitkomst!M15</f>
        <v>-7375000</v>
      </c>
    </row>
    <row r="17" spans="1:10" x14ac:dyDescent="0.35">
      <c r="D17" s="2"/>
      <c r="E17" s="9">
        <f>E15+E16</f>
        <v>9375000</v>
      </c>
      <c r="F17" s="9"/>
      <c r="G17" s="9"/>
      <c r="H17" s="9">
        <f>H15+H16</f>
        <v>7310000</v>
      </c>
      <c r="J17" s="9">
        <f>J15+J16</f>
        <v>17625000</v>
      </c>
    </row>
    <row r="18" spans="1:10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 s="9">
        <f>-H18*I18</f>
        <v>0</v>
      </c>
    </row>
    <row r="19" spans="1:10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 s="10">
        <f>-H19*I19</f>
        <v>0</v>
      </c>
    </row>
    <row r="20" spans="1:10" x14ac:dyDescent="0.35">
      <c r="E20" s="9">
        <f>E17+E18+E19</f>
        <v>1400901.4900000002</v>
      </c>
      <c r="H20" s="9">
        <f>H17+H18+H19</f>
        <v>1049851.4900000002</v>
      </c>
      <c r="J20" s="9">
        <f>J17+J18+J19</f>
        <v>17625000</v>
      </c>
    </row>
    <row r="21" spans="1:10" x14ac:dyDescent="0.35">
      <c r="A21" t="s">
        <v>7</v>
      </c>
      <c r="E21" s="7">
        <v>-5677</v>
      </c>
      <c r="H21" s="7">
        <v>-5677</v>
      </c>
      <c r="J21" s="7">
        <v>-5677</v>
      </c>
    </row>
    <row r="22" spans="1:10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6">
        <f>J20+J21</f>
        <v>17619323</v>
      </c>
    </row>
    <row r="23" spans="1:10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 s="4">
        <f>H23</f>
        <v>13042.5</v>
      </c>
    </row>
    <row r="24" spans="1:10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I24" s="4">
        <f>J22-F23</f>
        <v>17488898</v>
      </c>
      <c r="J24" s="7">
        <f>INT(I24*G24)</f>
        <v>3497779</v>
      </c>
    </row>
    <row r="25" spans="1:10" x14ac:dyDescent="0.35">
      <c r="E25" s="4">
        <f>E23+E24</f>
        <v>266001.5</v>
      </c>
      <c r="H25" s="4">
        <f>H23+H24</f>
        <v>195791.5</v>
      </c>
      <c r="J25" s="4">
        <f>J23+J24</f>
        <v>3510821.5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9ED8-2EB4-4A79-9A1F-D49411454BFD}">
  <dimension ref="A1:J25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8" max="8" width="9.7265625" customWidth="1"/>
  </cols>
  <sheetData>
    <row r="1" spans="1:10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0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0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F3</f>
        <v>266001.5</v>
      </c>
    </row>
    <row r="4" spans="1:10" x14ac:dyDescent="0.35">
      <c r="D4" t="s">
        <v>17</v>
      </c>
      <c r="F4" s="10">
        <v>0</v>
      </c>
      <c r="G4" s="9"/>
      <c r="H4" s="10">
        <f>F10</f>
        <v>2690000</v>
      </c>
      <c r="I4" s="9"/>
      <c r="J4" s="10">
        <v>0</v>
      </c>
    </row>
    <row r="5" spans="1:10" x14ac:dyDescent="0.35">
      <c r="D5" t="s">
        <v>18</v>
      </c>
      <c r="F5" s="9">
        <f>F3+F4</f>
        <v>266001.5</v>
      </c>
      <c r="G5" s="9"/>
      <c r="H5" s="9">
        <f>H3+H4</f>
        <v>2885791.5</v>
      </c>
      <c r="I5" s="9"/>
      <c r="J5" s="9">
        <f>J3+J4</f>
        <v>266001.5</v>
      </c>
    </row>
    <row r="6" spans="1:10" x14ac:dyDescent="0.35">
      <c r="D6" t="s">
        <v>26</v>
      </c>
      <c r="F6" s="10">
        <f>F11</f>
        <v>2950000</v>
      </c>
      <c r="G6" s="9"/>
      <c r="H6" s="10">
        <v>0</v>
      </c>
      <c r="I6" s="9"/>
      <c r="J6" s="10">
        <f>F11</f>
        <v>2950000</v>
      </c>
    </row>
    <row r="7" spans="1:10" x14ac:dyDescent="0.35">
      <c r="D7" t="s">
        <v>19</v>
      </c>
      <c r="F7" s="9">
        <f>F5+F6</f>
        <v>3216001.5</v>
      </c>
      <c r="G7" s="9"/>
      <c r="H7" s="9">
        <f>H5+H6</f>
        <v>2885791.5</v>
      </c>
      <c r="I7" s="9"/>
      <c r="J7" s="9">
        <f>J5+J6</f>
        <v>3216001.5</v>
      </c>
    </row>
    <row r="8" spans="1:10" x14ac:dyDescent="0.35">
      <c r="F8" s="4"/>
      <c r="G8" s="4"/>
      <c r="H8" s="4"/>
      <c r="I8" s="4"/>
      <c r="J8" s="4"/>
    </row>
    <row r="9" spans="1:10" x14ac:dyDescent="0.35">
      <c r="F9" s="4"/>
      <c r="G9" s="4"/>
      <c r="H9" s="4"/>
      <c r="I9" s="4"/>
      <c r="J9" s="4"/>
    </row>
    <row r="10" spans="1:10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0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0" x14ac:dyDescent="0.35">
      <c r="E12" s="2"/>
    </row>
    <row r="13" spans="1:10" x14ac:dyDescent="0.35">
      <c r="E13" s="2"/>
    </row>
    <row r="14" spans="1:10" x14ac:dyDescent="0.35">
      <c r="B14" t="s">
        <v>32</v>
      </c>
      <c r="E14" t="s">
        <v>3</v>
      </c>
      <c r="H14" t="s">
        <v>4</v>
      </c>
    </row>
    <row r="15" spans="1:10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</row>
    <row r="16" spans="1:10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</row>
    <row r="17" spans="1:8" x14ac:dyDescent="0.35">
      <c r="D17" s="2"/>
      <c r="E17" s="9">
        <f>E15+E16</f>
        <v>9375000</v>
      </c>
      <c r="F17" s="9"/>
      <c r="G17" s="9"/>
      <c r="H17" s="9">
        <f>H15+H16</f>
        <v>7310000</v>
      </c>
    </row>
    <row r="18" spans="1:8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</row>
    <row r="19" spans="1:8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</row>
    <row r="20" spans="1:8" x14ac:dyDescent="0.35">
      <c r="E20" s="9">
        <f>E17+E18+E19</f>
        <v>1400901.4900000002</v>
      </c>
      <c r="H20" s="9">
        <f>H17+H18+H19</f>
        <v>1049851.4900000002</v>
      </c>
    </row>
    <row r="21" spans="1:8" x14ac:dyDescent="0.35">
      <c r="A21" t="s">
        <v>7</v>
      </c>
      <c r="E21" s="7">
        <v>-5677</v>
      </c>
      <c r="H21" s="7">
        <v>-5677</v>
      </c>
    </row>
    <row r="22" spans="1:8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</row>
    <row r="23" spans="1:8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</row>
    <row r="24" spans="1:8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</row>
    <row r="25" spans="1:8" x14ac:dyDescent="0.35">
      <c r="E25" s="4">
        <f>E23+E24</f>
        <v>266001.5</v>
      </c>
      <c r="H25" s="4">
        <f>H23+H24</f>
        <v>195791.5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48AE-BAA5-4EA7-B1D7-6CA96EDAF1AB}">
  <dimension ref="A1:L25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L25</f>
        <v>1001918.5</v>
      </c>
    </row>
    <row r="4" spans="1:12" x14ac:dyDescent="0.35">
      <c r="D4" t="s">
        <v>17</v>
      </c>
      <c r="F4" s="10">
        <v>0</v>
      </c>
      <c r="G4" s="9"/>
      <c r="H4" s="10">
        <f>F10</f>
        <v>2690000</v>
      </c>
      <c r="I4" s="9"/>
      <c r="J4" s="10">
        <v>0</v>
      </c>
    </row>
    <row r="5" spans="1:12" x14ac:dyDescent="0.35">
      <c r="D5" t="s">
        <v>18</v>
      </c>
      <c r="F5" s="9">
        <f>F3+F4</f>
        <v>266001.5</v>
      </c>
      <c r="G5" s="9"/>
      <c r="H5" s="9">
        <f>H3+H4</f>
        <v>2885791.5</v>
      </c>
      <c r="I5" s="9"/>
      <c r="J5" s="9">
        <f>J3+J4</f>
        <v>1001918.5</v>
      </c>
    </row>
    <row r="6" spans="1:12" x14ac:dyDescent="0.35">
      <c r="D6" t="s">
        <v>26</v>
      </c>
      <c r="F6" s="10">
        <f>F11</f>
        <v>2950000</v>
      </c>
      <c r="G6" s="9"/>
      <c r="H6" s="10">
        <v>0</v>
      </c>
      <c r="I6" s="9"/>
      <c r="J6" s="10">
        <f>F11</f>
        <v>2950000</v>
      </c>
    </row>
    <row r="7" spans="1:12" x14ac:dyDescent="0.35">
      <c r="D7" t="s">
        <v>19</v>
      </c>
      <c r="F7" s="9">
        <f>F5+F6</f>
        <v>3216001.5</v>
      </c>
      <c r="G7" s="9"/>
      <c r="H7" s="9">
        <f>H5+H6</f>
        <v>2885791.5</v>
      </c>
      <c r="I7" s="9"/>
      <c r="J7" s="9">
        <f>J5+J6</f>
        <v>3951918.5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2" x14ac:dyDescent="0.35">
      <c r="E12" s="2"/>
    </row>
    <row r="13" spans="1:12" x14ac:dyDescent="0.35">
      <c r="E13" s="2"/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>
        <v>6.25E-2</v>
      </c>
      <c r="L16" s="10">
        <f>L15*-K16</f>
        <v>-625000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9375000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0.8</v>
      </c>
      <c r="L18" s="9">
        <f>-J18*K18</f>
        <v>-907522.4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8467477.5999999996</v>
      </c>
      <c r="K19" s="3">
        <v>0.4</v>
      </c>
      <c r="L19" s="10">
        <f>-J19*K19</f>
        <v>-3386991.04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5080486.5599999996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5074809.5599999996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4944384.5599999996</v>
      </c>
      <c r="K24" s="3">
        <v>0.2</v>
      </c>
      <c r="L24" s="7">
        <f>INT(J24*K24)</f>
        <v>988876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1001918.5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3A20-676A-4C3D-9D29-BF27A22DA8BD}">
  <dimension ref="A1:L25"/>
  <sheetViews>
    <sheetView workbookViewId="0">
      <selection activeCell="F20" sqref="F20"/>
    </sheetView>
  </sheetViews>
  <sheetFormatPr defaultRowHeight="14.5" x14ac:dyDescent="0.35"/>
  <cols>
    <col min="5" max="5" width="1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L25</f>
        <v>2748101.5</v>
      </c>
    </row>
    <row r="4" spans="1:12" x14ac:dyDescent="0.35">
      <c r="D4" t="s">
        <v>17</v>
      </c>
      <c r="F4" s="10">
        <v>0</v>
      </c>
      <c r="G4" s="9"/>
      <c r="H4" s="10">
        <f>F10</f>
        <v>2690000</v>
      </c>
      <c r="I4" s="9"/>
      <c r="J4" s="10">
        <f>F11</f>
        <v>4094999.9999999995</v>
      </c>
    </row>
    <row r="5" spans="1:12" x14ac:dyDescent="0.35">
      <c r="D5" t="s">
        <v>18</v>
      </c>
      <c r="F5" s="9">
        <f>F3+F4</f>
        <v>266001.5</v>
      </c>
      <c r="G5" s="9"/>
      <c r="H5" s="9">
        <f>H3+H4</f>
        <v>2885791.5</v>
      </c>
      <c r="I5" s="9"/>
      <c r="J5" s="9">
        <f>J3+J4</f>
        <v>6843101.5</v>
      </c>
    </row>
    <row r="6" spans="1:12" x14ac:dyDescent="0.35">
      <c r="D6" t="s">
        <v>26</v>
      </c>
      <c r="F6" s="10">
        <f>F11</f>
        <v>4094999.9999999995</v>
      </c>
      <c r="G6" s="9"/>
      <c r="H6" s="10">
        <v>0</v>
      </c>
      <c r="I6" s="9"/>
      <c r="J6" s="10">
        <v>0</v>
      </c>
    </row>
    <row r="7" spans="1:12" x14ac:dyDescent="0.35">
      <c r="D7" t="s">
        <v>19</v>
      </c>
      <c r="F7" s="9">
        <f>F5+F6</f>
        <v>4361001.5</v>
      </c>
      <c r="G7" s="9"/>
      <c r="H7" s="9">
        <f>H5+H6</f>
        <v>2885791.5</v>
      </c>
      <c r="I7" s="9"/>
      <c r="J7" s="9">
        <f>J5+J6</f>
        <v>6843101.5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0.40949999999999998</v>
      </c>
      <c r="F11" s="4">
        <f>D11*E11</f>
        <v>4094999.9999999995</v>
      </c>
    </row>
    <row r="12" spans="1:12" x14ac:dyDescent="0.35">
      <c r="E12" s="2"/>
    </row>
    <row r="13" spans="1:12" x14ac:dyDescent="0.35">
      <c r="E13" s="2"/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/>
      <c r="L16" s="10">
        <f>J4</f>
        <v>4094999.9999999995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14095000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0.25</v>
      </c>
      <c r="L18" s="9">
        <f>-J18*K18</f>
        <v>-283600.75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13811399.25</v>
      </c>
      <c r="K19" s="3">
        <v>0</v>
      </c>
      <c r="L19" s="10">
        <f>-J19*K19</f>
        <v>0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13811399.25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13805722.25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13675297.25</v>
      </c>
      <c r="K24" s="3">
        <v>0.2</v>
      </c>
      <c r="L24" s="7">
        <f>INT(J24*K24)</f>
        <v>2735059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2748101.5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237C-328A-4900-AB83-AB2D1EB41C98}">
  <dimension ref="A1:J25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90625" bestFit="1" customWidth="1"/>
    <col min="8" max="8" width="9.7265625" customWidth="1"/>
    <col min="10" max="10" width="8.90625" bestFit="1" customWidth="1"/>
  </cols>
  <sheetData>
    <row r="1" spans="1:10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0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0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F3</f>
        <v>266001.5</v>
      </c>
    </row>
    <row r="4" spans="1:10" x14ac:dyDescent="0.35">
      <c r="D4" t="s">
        <v>17</v>
      </c>
      <c r="F4" s="10">
        <f>F12</f>
        <v>7375000</v>
      </c>
      <c r="G4" s="9"/>
      <c r="H4" s="10">
        <f>F10+F13</f>
        <v>7115000</v>
      </c>
      <c r="I4" s="9"/>
      <c r="J4" s="10">
        <f>F12</f>
        <v>7375000</v>
      </c>
    </row>
    <row r="5" spans="1:10" x14ac:dyDescent="0.35">
      <c r="D5" t="s">
        <v>18</v>
      </c>
      <c r="F5" s="9">
        <f>F3+F4</f>
        <v>7641001.5</v>
      </c>
      <c r="G5" s="9"/>
      <c r="H5" s="9">
        <f>H3+H4</f>
        <v>7310791.5</v>
      </c>
      <c r="I5" s="9"/>
      <c r="J5" s="9">
        <f>J3+J4</f>
        <v>7641001.5</v>
      </c>
    </row>
    <row r="6" spans="1:10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0" x14ac:dyDescent="0.35">
      <c r="D7" t="s">
        <v>19</v>
      </c>
      <c r="F7" s="9">
        <f>F5+F6</f>
        <v>7641001.5</v>
      </c>
      <c r="G7" s="9"/>
      <c r="H7" s="9">
        <f>H5+H6</f>
        <v>7310791.5</v>
      </c>
      <c r="I7" s="9"/>
      <c r="J7" s="9">
        <f>J5+J6</f>
        <v>7641001.5</v>
      </c>
    </row>
    <row r="8" spans="1:10" x14ac:dyDescent="0.35">
      <c r="F8" s="4"/>
      <c r="G8" s="4"/>
      <c r="H8" s="4"/>
      <c r="I8" s="4"/>
      <c r="J8" s="4"/>
    </row>
    <row r="9" spans="1:10" x14ac:dyDescent="0.35">
      <c r="F9" s="4"/>
      <c r="G9" s="4"/>
      <c r="H9" s="4"/>
      <c r="I9" s="4"/>
      <c r="J9" s="4"/>
    </row>
    <row r="10" spans="1:10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0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0" x14ac:dyDescent="0.35">
      <c r="D12">
        <f>uitkomst!E21</f>
        <v>25000000</v>
      </c>
      <c r="E12" s="2">
        <f>E11</f>
        <v>0.29499999999999998</v>
      </c>
      <c r="F12" s="4">
        <f>D12*E12</f>
        <v>7375000</v>
      </c>
    </row>
    <row r="13" spans="1:10" x14ac:dyDescent="0.35">
      <c r="D13">
        <f>D12-D11</f>
        <v>15000000</v>
      </c>
      <c r="E13" s="2">
        <f>E12</f>
        <v>0.29499999999999998</v>
      </c>
      <c r="F13" s="4">
        <f>D13*E13</f>
        <v>4425000</v>
      </c>
    </row>
    <row r="14" spans="1:10" x14ac:dyDescent="0.35">
      <c r="B14" t="s">
        <v>32</v>
      </c>
      <c r="E14" t="s">
        <v>3</v>
      </c>
      <c r="H14" t="s">
        <v>4</v>
      </c>
    </row>
    <row r="15" spans="1:10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</row>
    <row r="16" spans="1:10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</row>
    <row r="17" spans="1:8" x14ac:dyDescent="0.35">
      <c r="D17" s="2"/>
      <c r="E17" s="9">
        <f>E15+E16</f>
        <v>9375000</v>
      </c>
      <c r="F17" s="9"/>
      <c r="G17" s="9"/>
      <c r="H17" s="9">
        <f>H15+H16</f>
        <v>7310000</v>
      </c>
    </row>
    <row r="18" spans="1:8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</row>
    <row r="19" spans="1:8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</row>
    <row r="20" spans="1:8" x14ac:dyDescent="0.35">
      <c r="E20" s="9">
        <f>E17+E18+E19</f>
        <v>1400901.4900000002</v>
      </c>
      <c r="H20" s="9">
        <f>H17+H18+H19</f>
        <v>1049851.4900000002</v>
      </c>
    </row>
    <row r="21" spans="1:8" x14ac:dyDescent="0.35">
      <c r="A21" t="s">
        <v>7</v>
      </c>
      <c r="E21" s="7">
        <v>-5677</v>
      </c>
      <c r="H21" s="7">
        <v>-5677</v>
      </c>
    </row>
    <row r="22" spans="1:8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</row>
    <row r="23" spans="1:8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</row>
    <row r="24" spans="1:8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</row>
    <row r="25" spans="1:8" x14ac:dyDescent="0.35">
      <c r="E25" s="4">
        <f>E23+E24</f>
        <v>266001.5</v>
      </c>
      <c r="H25" s="4">
        <f>H23+H24</f>
        <v>195791.5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F644-F68A-410A-B796-62FDC51CE81E}">
  <dimension ref="A1:L25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L25</f>
        <v>1001918.5</v>
      </c>
    </row>
    <row r="4" spans="1:12" x14ac:dyDescent="0.35">
      <c r="D4" t="s">
        <v>17</v>
      </c>
      <c r="F4" s="10">
        <f>F12</f>
        <v>7375000</v>
      </c>
      <c r="G4" s="9"/>
      <c r="H4" s="10">
        <f>F10+F13</f>
        <v>7115000</v>
      </c>
      <c r="I4" s="9"/>
      <c r="J4" s="10">
        <f>F12</f>
        <v>7375000</v>
      </c>
      <c r="K4" t="s">
        <v>37</v>
      </c>
    </row>
    <row r="5" spans="1:12" x14ac:dyDescent="0.35">
      <c r="D5" t="s">
        <v>18</v>
      </c>
      <c r="F5" s="9">
        <f>F3+F4</f>
        <v>7641001.5</v>
      </c>
      <c r="G5" s="9"/>
      <c r="H5" s="9">
        <f>H3+H4</f>
        <v>7310791.5</v>
      </c>
      <c r="I5" s="9"/>
      <c r="J5" s="9">
        <f>J3+J4</f>
        <v>8376918.5</v>
      </c>
    </row>
    <row r="6" spans="1:12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2" x14ac:dyDescent="0.35">
      <c r="D7" t="s">
        <v>19</v>
      </c>
      <c r="F7" s="9">
        <f>F5+F6</f>
        <v>7641001.5</v>
      </c>
      <c r="G7" s="9"/>
      <c r="H7" s="9">
        <f>H5+H6</f>
        <v>7310791.5</v>
      </c>
      <c r="I7" s="9"/>
      <c r="J7" s="9">
        <f>J5+J6</f>
        <v>8376918.5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0.29499999999999998</v>
      </c>
      <c r="F11" s="4">
        <f>D11*E11</f>
        <v>2950000</v>
      </c>
    </row>
    <row r="12" spans="1:12" x14ac:dyDescent="0.35">
      <c r="D12">
        <f>uitkomst!E21</f>
        <v>25000000</v>
      </c>
      <c r="E12" s="2">
        <f>E11</f>
        <v>0.29499999999999998</v>
      </c>
      <c r="F12" s="4">
        <f>D12*E12</f>
        <v>7375000</v>
      </c>
    </row>
    <row r="13" spans="1:12" x14ac:dyDescent="0.35">
      <c r="D13">
        <f>D12-D11</f>
        <v>15000000</v>
      </c>
      <c r="E13" s="2">
        <f>E12</f>
        <v>0.29499999999999998</v>
      </c>
      <c r="F13" s="4">
        <f>D13*E13</f>
        <v>4425000</v>
      </c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>
        <v>6.25E-2</v>
      </c>
      <c r="L16" s="10">
        <f>L15*-K16</f>
        <v>-625000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9375000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0.8</v>
      </c>
      <c r="L18" s="9">
        <f>-J18*K18</f>
        <v>-907522.4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8467477.5999999996</v>
      </c>
      <c r="K19" s="3">
        <v>0.4</v>
      </c>
      <c r="L19" s="10">
        <f>-J19*K19</f>
        <v>-3386991.04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5080486.5599999996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5074809.5599999996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4944384.5599999996</v>
      </c>
      <c r="K24" s="3">
        <v>0.2</v>
      </c>
      <c r="L24" s="7">
        <f>INT(J24*K24)</f>
        <v>988876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1001918.5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3846-A2F1-43BE-84EC-FE414F05B0B1}">
  <dimension ref="A1:L25"/>
  <sheetViews>
    <sheetView workbookViewId="0">
      <selection activeCell="F20" sqref="F20"/>
    </sheetView>
  </sheetViews>
  <sheetFormatPr defaultRowHeight="14.5" x14ac:dyDescent="0.35"/>
  <cols>
    <col min="5" max="5" width="9.54296875" bestFit="1" customWidth="1"/>
    <col min="6" max="6" width="8.81640625" bestFit="1" customWidth="1"/>
    <col min="8" max="8" width="9.7265625" customWidth="1"/>
    <col min="10" max="10" width="8.90625" bestFit="1" customWidth="1"/>
    <col min="12" max="12" width="9.6328125" customWidth="1"/>
  </cols>
  <sheetData>
    <row r="1" spans="1:12" x14ac:dyDescent="0.35">
      <c r="A1" t="s">
        <v>12</v>
      </c>
      <c r="F1">
        <v>1</v>
      </c>
      <c r="G1" s="8" t="s">
        <v>14</v>
      </c>
      <c r="H1">
        <v>1</v>
      </c>
      <c r="I1" s="8" t="s">
        <v>15</v>
      </c>
      <c r="J1">
        <v>4</v>
      </c>
    </row>
    <row r="2" spans="1:12" x14ac:dyDescent="0.35">
      <c r="A2" t="s">
        <v>13</v>
      </c>
      <c r="F2" s="1" t="s">
        <v>3</v>
      </c>
      <c r="G2" s="1"/>
      <c r="H2" s="1" t="s">
        <v>4</v>
      </c>
      <c r="I2" s="1"/>
      <c r="J2" s="1" t="s">
        <v>3</v>
      </c>
    </row>
    <row r="3" spans="1:12" x14ac:dyDescent="0.35">
      <c r="D3" t="s">
        <v>5</v>
      </c>
      <c r="F3" s="9">
        <f>E25</f>
        <v>266001.5</v>
      </c>
      <c r="G3" s="9"/>
      <c r="H3" s="9">
        <f>H25</f>
        <v>195791.5</v>
      </c>
      <c r="I3" s="9"/>
      <c r="J3" s="9">
        <f>L25</f>
        <v>1804101.5</v>
      </c>
    </row>
    <row r="4" spans="1:12" x14ac:dyDescent="0.35">
      <c r="D4" t="s">
        <v>17</v>
      </c>
      <c r="F4" s="10">
        <f>F12</f>
        <v>10237500</v>
      </c>
      <c r="G4" s="9"/>
      <c r="H4" s="10">
        <f>F10+F13</f>
        <v>8832500</v>
      </c>
      <c r="I4" s="9"/>
      <c r="J4" s="10">
        <f>F12</f>
        <v>10237500</v>
      </c>
    </row>
    <row r="5" spans="1:12" x14ac:dyDescent="0.35">
      <c r="D5" t="s">
        <v>18</v>
      </c>
      <c r="F5" s="9">
        <f>F3+F4</f>
        <v>10503501.5</v>
      </c>
      <c r="G5" s="9"/>
      <c r="H5" s="9">
        <f>H3+H4</f>
        <v>9028291.5</v>
      </c>
      <c r="I5" s="9"/>
      <c r="J5" s="9">
        <f>J3+J4</f>
        <v>12041601.5</v>
      </c>
    </row>
    <row r="6" spans="1:12" x14ac:dyDescent="0.35">
      <c r="D6" t="s">
        <v>26</v>
      </c>
      <c r="F6" s="10">
        <v>0</v>
      </c>
      <c r="G6" s="9"/>
      <c r="H6" s="10">
        <v>0</v>
      </c>
      <c r="I6" s="9"/>
      <c r="J6" s="10">
        <v>0</v>
      </c>
    </row>
    <row r="7" spans="1:12" x14ac:dyDescent="0.35">
      <c r="D7" t="s">
        <v>19</v>
      </c>
      <c r="F7" s="9">
        <f>F5+F6</f>
        <v>10503501.5</v>
      </c>
      <c r="G7" s="9"/>
      <c r="H7" s="9">
        <f>H5+H6</f>
        <v>9028291.5</v>
      </c>
      <c r="I7" s="9"/>
      <c r="J7" s="9">
        <f>J5+J6</f>
        <v>12041601.5</v>
      </c>
    </row>
    <row r="8" spans="1:12" x14ac:dyDescent="0.35">
      <c r="F8" s="4"/>
      <c r="G8" s="4"/>
      <c r="H8" s="4"/>
      <c r="I8" s="4"/>
      <c r="J8" s="4"/>
    </row>
    <row r="9" spans="1:12" x14ac:dyDescent="0.35">
      <c r="F9" s="4"/>
      <c r="G9" s="4"/>
      <c r="H9" s="4"/>
      <c r="I9" s="4"/>
      <c r="J9" s="4"/>
    </row>
    <row r="10" spans="1:12" x14ac:dyDescent="0.35">
      <c r="A10" t="s">
        <v>30</v>
      </c>
      <c r="D10">
        <f>uitkomst!C4</f>
        <v>10000000</v>
      </c>
      <c r="E10" s="2">
        <v>0.26900000000000002</v>
      </c>
      <c r="F10" s="4">
        <f>D10*E10</f>
        <v>2690000</v>
      </c>
      <c r="G10" s="4"/>
      <c r="H10" s="4"/>
      <c r="I10" s="4"/>
      <c r="J10" s="4"/>
    </row>
    <row r="11" spans="1:12" x14ac:dyDescent="0.35">
      <c r="A11" t="s">
        <v>35</v>
      </c>
      <c r="D11">
        <f>D10</f>
        <v>10000000</v>
      </c>
      <c r="E11" s="2">
        <v>0.40949999999999998</v>
      </c>
      <c r="F11" s="4">
        <f>D11*E11</f>
        <v>4094999.9999999995</v>
      </c>
    </row>
    <row r="12" spans="1:12" x14ac:dyDescent="0.35">
      <c r="D12">
        <f>uitkomst!E21</f>
        <v>25000000</v>
      </c>
      <c r="E12" s="2">
        <f>E11</f>
        <v>0.40949999999999998</v>
      </c>
      <c r="F12" s="4">
        <f>D12*E12</f>
        <v>10237500</v>
      </c>
    </row>
    <row r="13" spans="1:12" x14ac:dyDescent="0.35">
      <c r="D13">
        <f>D12-D11</f>
        <v>15000000</v>
      </c>
      <c r="E13" s="2">
        <f>E12</f>
        <v>0.40949999999999998</v>
      </c>
      <c r="F13" s="4">
        <f>D13*E13</f>
        <v>6142500</v>
      </c>
      <c r="K13" t="s">
        <v>36</v>
      </c>
    </row>
    <row r="14" spans="1:12" x14ac:dyDescent="0.35">
      <c r="B14" t="s">
        <v>32</v>
      </c>
      <c r="E14" t="s">
        <v>3</v>
      </c>
      <c r="H14" t="s">
        <v>4</v>
      </c>
    </row>
    <row r="15" spans="1:12" x14ac:dyDescent="0.35">
      <c r="A15" t="s">
        <v>31</v>
      </c>
      <c r="E15" s="9">
        <f>D10</f>
        <v>10000000</v>
      </c>
      <c r="F15" s="9"/>
      <c r="G15" s="9"/>
      <c r="H15" s="9">
        <f>E15</f>
        <v>10000000</v>
      </c>
      <c r="L15" s="9">
        <f>E15</f>
        <v>10000000</v>
      </c>
    </row>
    <row r="16" spans="1:12" x14ac:dyDescent="0.35">
      <c r="A16" t="s">
        <v>33</v>
      </c>
      <c r="D16" s="2">
        <v>6.25E-2</v>
      </c>
      <c r="E16" s="10">
        <f>E15*-D16</f>
        <v>-625000</v>
      </c>
      <c r="F16" s="9"/>
      <c r="G16" s="9"/>
      <c r="H16" s="9">
        <f>-F10</f>
        <v>-2690000</v>
      </c>
      <c r="K16" s="2">
        <v>6.25E-2</v>
      </c>
      <c r="L16" s="10">
        <f>L15*-K16</f>
        <v>-625000</v>
      </c>
    </row>
    <row r="17" spans="1:12" x14ac:dyDescent="0.35">
      <c r="D17" s="2"/>
      <c r="E17" s="9">
        <f>E15+E16</f>
        <v>9375000</v>
      </c>
      <c r="F17" s="9"/>
      <c r="G17" s="9"/>
      <c r="H17" s="9">
        <f>H15+H16</f>
        <v>7310000</v>
      </c>
      <c r="K17" s="2"/>
      <c r="L17" s="9">
        <f>L15+L16</f>
        <v>9375000</v>
      </c>
    </row>
    <row r="18" spans="1:12" x14ac:dyDescent="0.35">
      <c r="A18" t="s">
        <v>34</v>
      </c>
      <c r="C18">
        <v>1134403</v>
      </c>
      <c r="D18" s="3">
        <v>1</v>
      </c>
      <c r="E18" s="9">
        <f>-C18*D18</f>
        <v>-1134403</v>
      </c>
      <c r="F18">
        <v>1134403</v>
      </c>
      <c r="G18" s="3">
        <v>1</v>
      </c>
      <c r="H18" s="9">
        <f>-F18*G18</f>
        <v>-1134403</v>
      </c>
      <c r="J18">
        <v>1134403</v>
      </c>
      <c r="K18" s="3">
        <v>0.25</v>
      </c>
      <c r="L18" s="9">
        <f>-J18*K18</f>
        <v>-283600.75</v>
      </c>
    </row>
    <row r="19" spans="1:12" x14ac:dyDescent="0.35">
      <c r="A19" t="s">
        <v>24</v>
      </c>
      <c r="C19">
        <f>E17+E18</f>
        <v>8240597</v>
      </c>
      <c r="D19" s="3">
        <v>0.83</v>
      </c>
      <c r="E19" s="10">
        <f>-C19*D19</f>
        <v>-6839695.5099999998</v>
      </c>
      <c r="F19">
        <f>H17+H18</f>
        <v>6175597</v>
      </c>
      <c r="G19" s="3">
        <v>0.83</v>
      </c>
      <c r="H19" s="10">
        <f>-F19*G19</f>
        <v>-5125745.51</v>
      </c>
      <c r="J19">
        <f>L17+L18</f>
        <v>9091399.25</v>
      </c>
      <c r="K19" s="3">
        <v>0</v>
      </c>
      <c r="L19" s="10">
        <f>-J19*K19</f>
        <v>0</v>
      </c>
    </row>
    <row r="20" spans="1:12" x14ac:dyDescent="0.35">
      <c r="E20" s="9">
        <f>E17+E18+E19</f>
        <v>1400901.4900000002</v>
      </c>
      <c r="H20" s="9">
        <f>H17+H18+H19</f>
        <v>1049851.4900000002</v>
      </c>
      <c r="L20" s="9">
        <f>L17+L18+L19</f>
        <v>9091399.25</v>
      </c>
    </row>
    <row r="21" spans="1:12" x14ac:dyDescent="0.35">
      <c r="A21" t="s">
        <v>7</v>
      </c>
      <c r="E21" s="7">
        <v>-5677</v>
      </c>
      <c r="H21" s="7">
        <v>-5677</v>
      </c>
      <c r="L21" s="7">
        <v>-5677</v>
      </c>
    </row>
    <row r="22" spans="1:12" x14ac:dyDescent="0.35">
      <c r="A22" s="5" t="s">
        <v>8</v>
      </c>
      <c r="B22" s="5"/>
      <c r="C22" s="5"/>
      <c r="D22" s="5"/>
      <c r="E22" s="6">
        <f>E20+E21</f>
        <v>1395224.4900000002</v>
      </c>
      <c r="F22" s="5"/>
      <c r="G22" s="5"/>
      <c r="H22" s="6">
        <f>H20+H21</f>
        <v>1044174.4900000002</v>
      </c>
      <c r="J22" s="5"/>
      <c r="K22" s="5"/>
      <c r="L22" s="6">
        <f>L20+L21</f>
        <v>9085722.25</v>
      </c>
    </row>
    <row r="23" spans="1:12" x14ac:dyDescent="0.35">
      <c r="A23" t="s">
        <v>9</v>
      </c>
      <c r="C23">
        <f>IF(E22&gt;130425,130425,E22)</f>
        <v>130425</v>
      </c>
      <c r="D23" s="3">
        <v>0.1</v>
      </c>
      <c r="E23" s="4">
        <f>C23*D23</f>
        <v>13042.5</v>
      </c>
      <c r="F23">
        <f>IF(H22&gt;130425,130425,H22)</f>
        <v>130425</v>
      </c>
      <c r="G23" s="3">
        <v>0.1</v>
      </c>
      <c r="H23" s="4">
        <f>F23*G23</f>
        <v>13042.5</v>
      </c>
      <c r="J23">
        <f>IF(L22&gt;130425,130425,L22)</f>
        <v>130425</v>
      </c>
      <c r="K23" s="3">
        <v>0.1</v>
      </c>
      <c r="L23" s="4">
        <f>J23*K23</f>
        <v>13042.5</v>
      </c>
    </row>
    <row r="24" spans="1:12" x14ac:dyDescent="0.35">
      <c r="A24" t="s">
        <v>10</v>
      </c>
      <c r="C24" s="4">
        <f>E22-C23</f>
        <v>1264799.4900000002</v>
      </c>
      <c r="D24" s="3">
        <v>0.2</v>
      </c>
      <c r="E24" s="7">
        <f>INT(C24*D24)</f>
        <v>252959</v>
      </c>
      <c r="F24" s="4">
        <f>H22-F23</f>
        <v>913749.49000000022</v>
      </c>
      <c r="G24" s="3">
        <v>0.2</v>
      </c>
      <c r="H24" s="7">
        <f>INT(F24*G24)</f>
        <v>182749</v>
      </c>
      <c r="J24" s="4">
        <f>L22-J23</f>
        <v>8955297.25</v>
      </c>
      <c r="K24" s="3">
        <v>0.2</v>
      </c>
      <c r="L24" s="7">
        <f>INT(J24*K24)</f>
        <v>1791059</v>
      </c>
    </row>
    <row r="25" spans="1:12" x14ac:dyDescent="0.35">
      <c r="E25" s="4">
        <f>E23+E24</f>
        <v>266001.5</v>
      </c>
      <c r="H25" s="4">
        <f>H23+H24</f>
        <v>195791.5</v>
      </c>
      <c r="L25" s="4">
        <f>L23+L24</f>
        <v>1804101.5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uitkomst</vt:lpstr>
      <vt:lpstr>recap</vt:lpstr>
      <vt:lpstr>basis berekening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Blad3</vt:lpstr>
      <vt:lpstr>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jefub</dc:creator>
  <cp:lastModifiedBy>Archipel tax advice</cp:lastModifiedBy>
  <cp:lastPrinted>2022-06-14T09:19:28Z</cp:lastPrinted>
  <dcterms:created xsi:type="dcterms:W3CDTF">2022-06-13T09:54:21Z</dcterms:created>
  <dcterms:modified xsi:type="dcterms:W3CDTF">2022-07-13T08:02:26Z</dcterms:modified>
</cp:coreProperties>
</file>